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s.goncalves\Documents\Edital Supervisora - 08-11-2018\Supervisoras 08-11-2018\"/>
    </mc:Choice>
  </mc:AlternateContent>
  <bookViews>
    <workbookView xWindow="0" yWindow="60" windowWidth="19200" windowHeight="8040" tabRatio="749"/>
  </bookViews>
  <sheets>
    <sheet name="Resumo" sheetId="3" r:id="rId1"/>
    <sheet name="Custo Gerencial LOTE 01" sheetId="4" r:id="rId2"/>
    <sheet name="Relatorios LOTE 01" sheetId="8" r:id="rId3"/>
    <sheet name="Custo Gerencial LOTE 02" sheetId="9" r:id="rId4"/>
    <sheet name="Relatorios LOTE 02" sheetId="10" r:id="rId5"/>
    <sheet name="Custo Gerencial LOTE 03" sheetId="11" r:id="rId6"/>
    <sheet name="Relatorios LOTE 03" sheetId="12" r:id="rId7"/>
    <sheet name="Custo Gerencial LOTE 04" sheetId="13" r:id="rId8"/>
    <sheet name="Relatorios LOTE 04" sheetId="14" r:id="rId9"/>
    <sheet name="Custo Gerencial LOTE 05" sheetId="15" r:id="rId10"/>
    <sheet name="Relatorios LOTE 05" sheetId="16" r:id="rId11"/>
    <sheet name="Custo Gerencial LOTE 06" sheetId="17" r:id="rId12"/>
    <sheet name="Relatorios LOTE 06" sheetId="18" r:id="rId13"/>
    <sheet name="Custo Gerencial LOTE 07" sheetId="19" r:id="rId14"/>
    <sheet name="Relatorios LOTE 07" sheetId="20" r:id="rId15"/>
    <sheet name="Tabela DNIT-Consult" sheetId="7" r:id="rId16"/>
    <sheet name="Planilha base" sheetId="5" r:id="rId17"/>
    <sheet name="Cotações FWD,IRI,LVC e Mancha" sheetId="6" r:id="rId18"/>
    <sheet name="Dimensionamento" sheetId="1" r:id="rId19"/>
    <sheet name="Diárias" sheetId="2" r:id="rId20"/>
    <sheet name="Faixas de Rolamento" sheetId="21" r:id="rId21"/>
  </sheets>
  <definedNames>
    <definedName name="_xlnm._FilterDatabase" localSheetId="2" hidden="1">'Relatorios LOTE 01'!$A$5:$A$141</definedName>
    <definedName name="_xlnm._FilterDatabase" localSheetId="4" hidden="1">'Relatorios LOTE 02'!$A$5:$A$141</definedName>
    <definedName name="_xlnm._FilterDatabase" localSheetId="6" hidden="1">'Relatorios LOTE 03'!$A$5:$A$141</definedName>
    <definedName name="_xlnm._FilterDatabase" localSheetId="8" hidden="1">'Relatorios LOTE 04'!$A$5:$A$141</definedName>
    <definedName name="_xlnm._FilterDatabase" localSheetId="10" hidden="1">'Relatorios LOTE 05'!$A$5:$A$141</definedName>
    <definedName name="_xlnm._FilterDatabase" localSheetId="12" hidden="1">'Relatorios LOTE 06'!$A$5:$A$141</definedName>
    <definedName name="_xlnm._FilterDatabase" localSheetId="14" hidden="1">'Relatorios LOTE 07'!$A$5:$A$141</definedName>
    <definedName name="_xlnm.Print_Area" localSheetId="17">'Cotações FWD,IRI,LVC e Mancha'!$A$1:$AX$25</definedName>
    <definedName name="_xlnm.Print_Area" localSheetId="3">'Custo Gerencial LOTE 02'!$A$1:$H$82</definedName>
    <definedName name="_xlnm.Print_Area" localSheetId="5">'Custo Gerencial LOTE 03'!$A$1:$G$82</definedName>
    <definedName name="_xlnm.Print_Area" localSheetId="7">'Custo Gerencial LOTE 04'!$A$1:$G$82</definedName>
    <definedName name="_xlnm.Print_Area" localSheetId="9">'Custo Gerencial LOTE 05'!$A$1:$G$82</definedName>
    <definedName name="_xlnm.Print_Area" localSheetId="11">'Custo Gerencial LOTE 06'!$A$1:$G$82</definedName>
    <definedName name="_xlnm.Print_Area" localSheetId="13">'Custo Gerencial LOTE 07'!$A$1:$G$82</definedName>
    <definedName name="_xlnm.Print_Area" localSheetId="16">'Planilha base'!$A$1:$O$121</definedName>
    <definedName name="_xlnm.Print_Area" localSheetId="2">'Relatorios LOTE 01'!$A$1:$G$152</definedName>
    <definedName name="_xlnm.Print_Area" localSheetId="4">'Relatorios LOTE 02'!$A$1:$F$151</definedName>
    <definedName name="_xlnm.Print_Area" localSheetId="6">'Relatorios LOTE 03'!$A$1:$F$151</definedName>
    <definedName name="_xlnm.Print_Area" localSheetId="8">'Relatorios LOTE 04'!$A$1:$F$151</definedName>
    <definedName name="_xlnm.Print_Area" localSheetId="10">'Relatorios LOTE 05'!$A$1:$F$151</definedName>
    <definedName name="_xlnm.Print_Area" localSheetId="12">'Relatorios LOTE 06'!$A$1:$F$151</definedName>
    <definedName name="_xlnm.Print_Area" localSheetId="14">'Relatorios LOTE 07'!$A$1:$F$151</definedName>
    <definedName name="_xlnm.Print_Area" localSheetId="0">Resumo!$A$1:$K$25</definedName>
    <definedName name="_xlnm.Print_Area" localSheetId="15">'Tabela DNIT-Consult'!$A$1:$L$68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solver_adj" localSheetId="2" hidden="1">'Relatorios LOTE 01'!#REF!</definedName>
    <definedName name="solver_adj" localSheetId="4" hidden="1">'Relatorios LOTE 02'!#REF!</definedName>
    <definedName name="solver_adj" localSheetId="6" hidden="1">'Relatorios LOTE 03'!#REF!</definedName>
    <definedName name="solver_adj" localSheetId="8" hidden="1">'Relatorios LOTE 04'!#REF!</definedName>
    <definedName name="solver_adj" localSheetId="10" hidden="1">'Relatorios LOTE 05'!#REF!</definedName>
    <definedName name="solver_adj" localSheetId="12" hidden="1">'Relatorios LOTE 06'!#REF!</definedName>
    <definedName name="solver_adj" localSheetId="14" hidden="1">'Relatorios LOTE 07'!#REF!</definedName>
    <definedName name="solver_cvg" localSheetId="2" hidden="1">0.0001</definedName>
    <definedName name="solver_cvg" localSheetId="4" hidden="1">0.0001</definedName>
    <definedName name="solver_cvg" localSheetId="6" hidden="1">0.0001</definedName>
    <definedName name="solver_cvg" localSheetId="8" hidden="1">0.0001</definedName>
    <definedName name="solver_cvg" localSheetId="10" hidden="1">0.0001</definedName>
    <definedName name="solver_cvg" localSheetId="12" hidden="1">0.0001</definedName>
    <definedName name="solver_cvg" localSheetId="14" hidden="1">0.0001</definedName>
    <definedName name="solver_drv" localSheetId="2" hidden="1">1</definedName>
    <definedName name="solver_drv" localSheetId="4" hidden="1">1</definedName>
    <definedName name="solver_drv" localSheetId="6" hidden="1">1</definedName>
    <definedName name="solver_drv" localSheetId="8" hidden="1">1</definedName>
    <definedName name="solver_drv" localSheetId="10" hidden="1">1</definedName>
    <definedName name="solver_drv" localSheetId="12" hidden="1">1</definedName>
    <definedName name="solver_drv" localSheetId="14" hidden="1">1</definedName>
    <definedName name="solver_eng" localSheetId="2" hidden="1">1</definedName>
    <definedName name="solver_eng" localSheetId="4" hidden="1">1</definedName>
    <definedName name="solver_eng" localSheetId="6" hidden="1">1</definedName>
    <definedName name="solver_eng" localSheetId="8" hidden="1">1</definedName>
    <definedName name="solver_eng" localSheetId="10" hidden="1">1</definedName>
    <definedName name="solver_eng" localSheetId="12" hidden="1">1</definedName>
    <definedName name="solver_eng" localSheetId="14" hidden="1">1</definedName>
    <definedName name="solver_est" localSheetId="2" hidden="1">1</definedName>
    <definedName name="solver_est" localSheetId="4" hidden="1">1</definedName>
    <definedName name="solver_est" localSheetId="6" hidden="1">1</definedName>
    <definedName name="solver_est" localSheetId="8" hidden="1">1</definedName>
    <definedName name="solver_est" localSheetId="10" hidden="1">1</definedName>
    <definedName name="solver_est" localSheetId="12" hidden="1">1</definedName>
    <definedName name="solver_est" localSheetId="14" hidden="1">1</definedName>
    <definedName name="solver_itr" localSheetId="2" hidden="1">2147483647</definedName>
    <definedName name="solver_itr" localSheetId="4" hidden="1">2147483647</definedName>
    <definedName name="solver_itr" localSheetId="6" hidden="1">2147483647</definedName>
    <definedName name="solver_itr" localSheetId="8" hidden="1">2147483647</definedName>
    <definedName name="solver_itr" localSheetId="10" hidden="1">2147483647</definedName>
    <definedName name="solver_itr" localSheetId="12" hidden="1">2147483647</definedName>
    <definedName name="solver_itr" localSheetId="14" hidden="1">2147483647</definedName>
    <definedName name="solver_mip" localSheetId="2" hidden="1">2147483647</definedName>
    <definedName name="solver_mip" localSheetId="4" hidden="1">2147483647</definedName>
    <definedName name="solver_mip" localSheetId="6" hidden="1">2147483647</definedName>
    <definedName name="solver_mip" localSheetId="8" hidden="1">2147483647</definedName>
    <definedName name="solver_mip" localSheetId="10" hidden="1">2147483647</definedName>
    <definedName name="solver_mip" localSheetId="12" hidden="1">2147483647</definedName>
    <definedName name="solver_mip" localSheetId="14" hidden="1">2147483647</definedName>
    <definedName name="solver_mni" localSheetId="2" hidden="1">30</definedName>
    <definedName name="solver_mni" localSheetId="4" hidden="1">30</definedName>
    <definedName name="solver_mni" localSheetId="6" hidden="1">30</definedName>
    <definedName name="solver_mni" localSheetId="8" hidden="1">30</definedName>
    <definedName name="solver_mni" localSheetId="10" hidden="1">30</definedName>
    <definedName name="solver_mni" localSheetId="12" hidden="1">30</definedName>
    <definedName name="solver_mni" localSheetId="14" hidden="1">30</definedName>
    <definedName name="solver_mrt" localSheetId="2" hidden="1">0.075</definedName>
    <definedName name="solver_mrt" localSheetId="4" hidden="1">0.075</definedName>
    <definedName name="solver_mrt" localSheetId="6" hidden="1">0.075</definedName>
    <definedName name="solver_mrt" localSheetId="8" hidden="1">0.075</definedName>
    <definedName name="solver_mrt" localSheetId="10" hidden="1">0.075</definedName>
    <definedName name="solver_mrt" localSheetId="12" hidden="1">0.075</definedName>
    <definedName name="solver_mrt" localSheetId="14" hidden="1">0.075</definedName>
    <definedName name="solver_msl" localSheetId="2" hidden="1">2</definedName>
    <definedName name="solver_msl" localSheetId="4" hidden="1">2</definedName>
    <definedName name="solver_msl" localSheetId="6" hidden="1">2</definedName>
    <definedName name="solver_msl" localSheetId="8" hidden="1">2</definedName>
    <definedName name="solver_msl" localSheetId="10" hidden="1">2</definedName>
    <definedName name="solver_msl" localSheetId="12" hidden="1">2</definedName>
    <definedName name="solver_msl" localSheetId="14" hidden="1">2</definedName>
    <definedName name="solver_neg" localSheetId="2" hidden="1">1</definedName>
    <definedName name="solver_neg" localSheetId="4" hidden="1">1</definedName>
    <definedName name="solver_neg" localSheetId="6" hidden="1">1</definedName>
    <definedName name="solver_neg" localSheetId="8" hidden="1">1</definedName>
    <definedName name="solver_neg" localSheetId="10" hidden="1">1</definedName>
    <definedName name="solver_neg" localSheetId="12" hidden="1">1</definedName>
    <definedName name="solver_neg" localSheetId="14" hidden="1">1</definedName>
    <definedName name="solver_nod" localSheetId="2" hidden="1">2147483647</definedName>
    <definedName name="solver_nod" localSheetId="4" hidden="1">2147483647</definedName>
    <definedName name="solver_nod" localSheetId="6" hidden="1">2147483647</definedName>
    <definedName name="solver_nod" localSheetId="8" hidden="1">2147483647</definedName>
    <definedName name="solver_nod" localSheetId="10" hidden="1">2147483647</definedName>
    <definedName name="solver_nod" localSheetId="12" hidden="1">2147483647</definedName>
    <definedName name="solver_nod" localSheetId="14" hidden="1">2147483647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num" localSheetId="8" hidden="1">0</definedName>
    <definedName name="solver_num" localSheetId="10" hidden="1">0</definedName>
    <definedName name="solver_num" localSheetId="12" hidden="1">0</definedName>
    <definedName name="solver_num" localSheetId="14" hidden="1">0</definedName>
    <definedName name="solver_nwt" localSheetId="2" hidden="1">1</definedName>
    <definedName name="solver_nwt" localSheetId="4" hidden="1">1</definedName>
    <definedName name="solver_nwt" localSheetId="6" hidden="1">1</definedName>
    <definedName name="solver_nwt" localSheetId="8" hidden="1">1</definedName>
    <definedName name="solver_nwt" localSheetId="10" hidden="1">1</definedName>
    <definedName name="solver_nwt" localSheetId="12" hidden="1">1</definedName>
    <definedName name="solver_nwt" localSheetId="14" hidden="1">1</definedName>
    <definedName name="solver_opt" localSheetId="2" hidden="1">'Relatorios LOTE 01'!#REF!</definedName>
    <definedName name="solver_opt" localSheetId="4" hidden="1">'Relatorios LOTE 02'!#REF!</definedName>
    <definedName name="solver_opt" localSheetId="6" hidden="1">'Relatorios LOTE 03'!#REF!</definedName>
    <definedName name="solver_opt" localSheetId="8" hidden="1">'Relatorios LOTE 04'!#REF!</definedName>
    <definedName name="solver_opt" localSheetId="10" hidden="1">'Relatorios LOTE 05'!#REF!</definedName>
    <definedName name="solver_opt" localSheetId="12" hidden="1">'Relatorios LOTE 06'!#REF!</definedName>
    <definedName name="solver_opt" localSheetId="14" hidden="1">'Relatorios LOTE 07'!#REF!</definedName>
    <definedName name="solver_pre" localSheetId="2" hidden="1">0.000001</definedName>
    <definedName name="solver_pre" localSheetId="4" hidden="1">0.000001</definedName>
    <definedName name="solver_pre" localSheetId="6" hidden="1">0.000001</definedName>
    <definedName name="solver_pre" localSheetId="8" hidden="1">0.000001</definedName>
    <definedName name="solver_pre" localSheetId="10" hidden="1">0.000001</definedName>
    <definedName name="solver_pre" localSheetId="12" hidden="1">0.000001</definedName>
    <definedName name="solver_pre" localSheetId="14" hidden="1">0.000001</definedName>
    <definedName name="solver_rbv" localSheetId="2" hidden="1">1</definedName>
    <definedName name="solver_rbv" localSheetId="4" hidden="1">1</definedName>
    <definedName name="solver_rbv" localSheetId="6" hidden="1">1</definedName>
    <definedName name="solver_rbv" localSheetId="8" hidden="1">1</definedName>
    <definedName name="solver_rbv" localSheetId="10" hidden="1">1</definedName>
    <definedName name="solver_rbv" localSheetId="12" hidden="1">1</definedName>
    <definedName name="solver_rbv" localSheetId="14" hidden="1">1</definedName>
    <definedName name="solver_rlx" localSheetId="2" hidden="1">2</definedName>
    <definedName name="solver_rlx" localSheetId="4" hidden="1">2</definedName>
    <definedName name="solver_rlx" localSheetId="6" hidden="1">2</definedName>
    <definedName name="solver_rlx" localSheetId="8" hidden="1">2</definedName>
    <definedName name="solver_rlx" localSheetId="10" hidden="1">2</definedName>
    <definedName name="solver_rlx" localSheetId="12" hidden="1">2</definedName>
    <definedName name="solver_rlx" localSheetId="14" hidden="1">2</definedName>
    <definedName name="solver_rsd" localSheetId="2" hidden="1">0</definedName>
    <definedName name="solver_rsd" localSheetId="4" hidden="1">0</definedName>
    <definedName name="solver_rsd" localSheetId="6" hidden="1">0</definedName>
    <definedName name="solver_rsd" localSheetId="8" hidden="1">0</definedName>
    <definedName name="solver_rsd" localSheetId="10" hidden="1">0</definedName>
    <definedName name="solver_rsd" localSheetId="12" hidden="1">0</definedName>
    <definedName name="solver_rsd" localSheetId="14" hidden="1">0</definedName>
    <definedName name="solver_scl" localSheetId="2" hidden="1">1</definedName>
    <definedName name="solver_scl" localSheetId="4" hidden="1">1</definedName>
    <definedName name="solver_scl" localSheetId="6" hidden="1">1</definedName>
    <definedName name="solver_scl" localSheetId="8" hidden="1">1</definedName>
    <definedName name="solver_scl" localSheetId="10" hidden="1">1</definedName>
    <definedName name="solver_scl" localSheetId="12" hidden="1">1</definedName>
    <definedName name="solver_scl" localSheetId="14" hidden="1">1</definedName>
    <definedName name="solver_sho" localSheetId="2" hidden="1">2</definedName>
    <definedName name="solver_sho" localSheetId="4" hidden="1">2</definedName>
    <definedName name="solver_sho" localSheetId="6" hidden="1">2</definedName>
    <definedName name="solver_sho" localSheetId="8" hidden="1">2</definedName>
    <definedName name="solver_sho" localSheetId="10" hidden="1">2</definedName>
    <definedName name="solver_sho" localSheetId="12" hidden="1">2</definedName>
    <definedName name="solver_sho" localSheetId="14" hidden="1">2</definedName>
    <definedName name="solver_ssz" localSheetId="2" hidden="1">100</definedName>
    <definedName name="solver_ssz" localSheetId="4" hidden="1">100</definedName>
    <definedName name="solver_ssz" localSheetId="6" hidden="1">100</definedName>
    <definedName name="solver_ssz" localSheetId="8" hidden="1">100</definedName>
    <definedName name="solver_ssz" localSheetId="10" hidden="1">100</definedName>
    <definedName name="solver_ssz" localSheetId="12" hidden="1">100</definedName>
    <definedName name="solver_ssz" localSheetId="14" hidden="1">100</definedName>
    <definedName name="solver_tim" localSheetId="2" hidden="1">2147483647</definedName>
    <definedName name="solver_tim" localSheetId="4" hidden="1">2147483647</definedName>
    <definedName name="solver_tim" localSheetId="6" hidden="1">2147483647</definedName>
    <definedName name="solver_tim" localSheetId="8" hidden="1">2147483647</definedName>
    <definedName name="solver_tim" localSheetId="10" hidden="1">2147483647</definedName>
    <definedName name="solver_tim" localSheetId="12" hidden="1">2147483647</definedName>
    <definedName name="solver_tim" localSheetId="14" hidden="1">2147483647</definedName>
    <definedName name="solver_tol" localSheetId="2" hidden="1">0.01</definedName>
    <definedName name="solver_tol" localSheetId="4" hidden="1">0.01</definedName>
    <definedName name="solver_tol" localSheetId="6" hidden="1">0.01</definedName>
    <definedName name="solver_tol" localSheetId="8" hidden="1">0.01</definedName>
    <definedName name="solver_tol" localSheetId="10" hidden="1">0.01</definedName>
    <definedName name="solver_tol" localSheetId="12" hidden="1">0.01</definedName>
    <definedName name="solver_tol" localSheetId="14" hidden="1">0.01</definedName>
    <definedName name="solver_typ" localSheetId="2" hidden="1">3</definedName>
    <definedName name="solver_typ" localSheetId="4" hidden="1">3</definedName>
    <definedName name="solver_typ" localSheetId="6" hidden="1">3</definedName>
    <definedName name="solver_typ" localSheetId="8" hidden="1">3</definedName>
    <definedName name="solver_typ" localSheetId="10" hidden="1">3</definedName>
    <definedName name="solver_typ" localSheetId="12" hidden="1">3</definedName>
    <definedName name="solver_typ" localSheetId="14" hidden="1">3</definedName>
    <definedName name="solver_val" localSheetId="2" hidden="1">7.2</definedName>
    <definedName name="solver_val" localSheetId="4" hidden="1">7.2</definedName>
    <definedName name="solver_val" localSheetId="6" hidden="1">7.2</definedName>
    <definedName name="solver_val" localSheetId="8" hidden="1">7.2</definedName>
    <definedName name="solver_val" localSheetId="10" hidden="1">7.2</definedName>
    <definedName name="solver_val" localSheetId="12" hidden="1">7.2</definedName>
    <definedName name="solver_val" localSheetId="14" hidden="1">7.2</definedName>
    <definedName name="solver_ver" localSheetId="2" hidden="1">3</definedName>
    <definedName name="solver_ver" localSheetId="4" hidden="1">3</definedName>
    <definedName name="solver_ver" localSheetId="6" hidden="1">3</definedName>
    <definedName name="solver_ver" localSheetId="8" hidden="1">3</definedName>
    <definedName name="solver_ver" localSheetId="10" hidden="1">3</definedName>
    <definedName name="solver_ver" localSheetId="12" hidden="1">3</definedName>
    <definedName name="solver_ver" localSheetId="14" hidden="1">3</definedName>
    <definedName name="_xlnm.Print_Titles" localSheetId="2">'Relatorios LOTE 01'!$1:$2</definedName>
    <definedName name="_xlnm.Print_Titles" localSheetId="4">'Relatorios LOTE 02'!$1:$2</definedName>
    <definedName name="_xlnm.Print_Titles" localSheetId="6">'Relatorios LOTE 03'!$1:$2</definedName>
    <definedName name="_xlnm.Print_Titles" localSheetId="8">'Relatorios LOTE 04'!$1:$2</definedName>
    <definedName name="_xlnm.Print_Titles" localSheetId="10">'Relatorios LOTE 05'!$1:$2</definedName>
    <definedName name="_xlnm.Print_Titles" localSheetId="12">'Relatorios LOTE 06'!$1:$2</definedName>
    <definedName name="_xlnm.Print_Titles" localSheetId="14">'Relatorios LOTE 07'!$1:$2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5" l="1"/>
  <c r="H89" i="5"/>
  <c r="F77" i="5" l="1"/>
  <c r="E87" i="5"/>
  <c r="E88" i="5"/>
  <c r="E89" i="5"/>
  <c r="E93" i="5" s="1"/>
  <c r="E90" i="5"/>
  <c r="E91" i="5"/>
  <c r="E105" i="5"/>
  <c r="I105" i="5" s="1"/>
  <c r="J105" i="5" s="1"/>
  <c r="F105" i="5"/>
  <c r="G105" i="5"/>
  <c r="F72" i="5"/>
  <c r="F78" i="5" l="1"/>
  <c r="F39" i="5"/>
  <c r="A150" i="8" l="1"/>
  <c r="A150" i="10"/>
  <c r="A150" i="12"/>
  <c r="A150" i="14"/>
  <c r="A150" i="16"/>
  <c r="A150" i="18"/>
  <c r="A150" i="20"/>
  <c r="A149" i="8"/>
  <c r="A149" i="10"/>
  <c r="A149" i="12"/>
  <c r="A149" i="14"/>
  <c r="A149" i="16"/>
  <c r="A149" i="18"/>
  <c r="A149" i="20"/>
  <c r="A148" i="8"/>
  <c r="A148" i="10"/>
  <c r="A148" i="12"/>
  <c r="A148" i="14"/>
  <c r="A148" i="16"/>
  <c r="A148" i="18"/>
  <c r="A148" i="20"/>
  <c r="A147" i="8"/>
  <c r="A147" i="10"/>
  <c r="A147" i="12"/>
  <c r="A147" i="14"/>
  <c r="A147" i="16"/>
  <c r="A147" i="18"/>
  <c r="A147" i="20"/>
  <c r="A146" i="8"/>
  <c r="A146" i="10"/>
  <c r="A146" i="12"/>
  <c r="A146" i="14"/>
  <c r="A146" i="16"/>
  <c r="A146" i="18"/>
  <c r="A146" i="20"/>
  <c r="B145" i="8"/>
  <c r="B145" i="10"/>
  <c r="B145" i="12"/>
  <c r="B145" i="14"/>
  <c r="B145" i="16"/>
  <c r="B145" i="18"/>
  <c r="B145" i="20"/>
  <c r="K5" i="20" l="1"/>
  <c r="K5" i="18"/>
  <c r="K5" i="16"/>
  <c r="K5" i="14"/>
  <c r="K5" i="12"/>
  <c r="K5" i="10"/>
  <c r="K5" i="8"/>
  <c r="K24" i="21" l="1"/>
  <c r="K23" i="21"/>
  <c r="K22" i="21"/>
  <c r="D19" i="20" s="1"/>
  <c r="K21" i="21"/>
  <c r="K20" i="21"/>
  <c r="D19" i="18" s="1"/>
  <c r="K19" i="21"/>
  <c r="K18" i="21"/>
  <c r="D19" i="16" s="1"/>
  <c r="K17" i="21"/>
  <c r="K16" i="21"/>
  <c r="D19" i="14" s="1"/>
  <c r="K15" i="21"/>
  <c r="K14" i="21"/>
  <c r="K13" i="21"/>
  <c r="K12" i="21"/>
  <c r="K11" i="21"/>
  <c r="K10" i="21"/>
  <c r="K9" i="21"/>
  <c r="K8" i="21"/>
  <c r="K7" i="21"/>
  <c r="K6" i="21"/>
  <c r="K5" i="21"/>
  <c r="J24" i="21"/>
  <c r="J23" i="21"/>
  <c r="J22" i="21"/>
  <c r="D18" i="20" s="1"/>
  <c r="J21" i="21"/>
  <c r="J20" i="21"/>
  <c r="D18" i="18" s="1"/>
  <c r="J19" i="21"/>
  <c r="J18" i="21"/>
  <c r="D18" i="16" s="1"/>
  <c r="J17" i="21"/>
  <c r="J16" i="21"/>
  <c r="D18" i="14" s="1"/>
  <c r="J15" i="21"/>
  <c r="J14" i="21"/>
  <c r="J13" i="21"/>
  <c r="J12" i="21"/>
  <c r="J11" i="21"/>
  <c r="J10" i="21"/>
  <c r="J9" i="21"/>
  <c r="J8" i="21"/>
  <c r="J7" i="21"/>
  <c r="J6" i="21"/>
  <c r="J5" i="21"/>
  <c r="I24" i="21"/>
  <c r="I23" i="21"/>
  <c r="I22" i="21"/>
  <c r="D17" i="20" s="1"/>
  <c r="I21" i="21"/>
  <c r="I20" i="21"/>
  <c r="D17" i="18" s="1"/>
  <c r="I19" i="21"/>
  <c r="I18" i="21"/>
  <c r="D17" i="16" s="1"/>
  <c r="I17" i="21"/>
  <c r="I16" i="21"/>
  <c r="D17" i="14" s="1"/>
  <c r="I15" i="21"/>
  <c r="I14" i="21"/>
  <c r="I13" i="21"/>
  <c r="I12" i="21"/>
  <c r="I11" i="21"/>
  <c r="I10" i="21"/>
  <c r="I9" i="21"/>
  <c r="I8" i="21"/>
  <c r="I7" i="21"/>
  <c r="I6" i="21"/>
  <c r="I5" i="21"/>
  <c r="H24" i="21"/>
  <c r="H23" i="21"/>
  <c r="H22" i="21"/>
  <c r="D16" i="20" s="1"/>
  <c r="H21" i="21"/>
  <c r="H20" i="21"/>
  <c r="D16" i="18" s="1"/>
  <c r="H19" i="21"/>
  <c r="H18" i="21"/>
  <c r="D16" i="16" s="1"/>
  <c r="H17" i="21"/>
  <c r="H16" i="21"/>
  <c r="D16" i="14" s="1"/>
  <c r="H15" i="21"/>
  <c r="H14" i="21"/>
  <c r="H13" i="21"/>
  <c r="H12" i="21"/>
  <c r="H11" i="21"/>
  <c r="H10" i="21"/>
  <c r="H9" i="21"/>
  <c r="H8" i="21"/>
  <c r="H7" i="21"/>
  <c r="H6" i="21"/>
  <c r="H5" i="21"/>
  <c r="D16" i="8" l="1"/>
  <c r="D16" i="12"/>
  <c r="D17" i="8"/>
  <c r="D17" i="12"/>
  <c r="D18" i="8"/>
  <c r="D18" i="12"/>
  <c r="D19" i="8"/>
  <c r="D19" i="12"/>
  <c r="D16" i="10"/>
  <c r="D17" i="10"/>
  <c r="D18" i="10"/>
  <c r="D19" i="10"/>
  <c r="D150" i="8"/>
  <c r="D149" i="8"/>
  <c r="D148" i="8"/>
  <c r="D147" i="8"/>
  <c r="D146" i="8"/>
  <c r="D145" i="8"/>
  <c r="E124" i="12" l="1"/>
  <c r="E7" i="20" l="1"/>
  <c r="E7" i="18"/>
  <c r="E7" i="16"/>
  <c r="E7" i="14"/>
  <c r="E7" i="12"/>
  <c r="F38" i="19"/>
  <c r="F37" i="19"/>
  <c r="F38" i="17"/>
  <c r="F37" i="17"/>
  <c r="F38" i="15"/>
  <c r="F37" i="15"/>
  <c r="F38" i="13"/>
  <c r="F37" i="13"/>
  <c r="F38" i="9"/>
  <c r="F37" i="9"/>
  <c r="F38" i="4"/>
  <c r="F37" i="4"/>
  <c r="F38" i="11"/>
  <c r="F37" i="11"/>
  <c r="E10" i="19" l="1"/>
  <c r="E10" i="17"/>
  <c r="E10" i="15"/>
  <c r="E10" i="13"/>
  <c r="E10" i="11"/>
  <c r="E10" i="9"/>
  <c r="E10" i="4"/>
  <c r="E67" i="8" l="1"/>
  <c r="E67" i="10"/>
  <c r="E67" i="12"/>
  <c r="E67" i="14"/>
  <c r="E67" i="16"/>
  <c r="E67" i="18"/>
  <c r="E67" i="20"/>
  <c r="E43" i="8"/>
  <c r="E43" i="10"/>
  <c r="E43" i="12"/>
  <c r="E43" i="14"/>
  <c r="E43" i="16"/>
  <c r="E43" i="18"/>
  <c r="E43" i="20"/>
  <c r="G56" i="9"/>
  <c r="G56" i="11"/>
  <c r="G56" i="15"/>
  <c r="G56" i="17"/>
  <c r="G56" i="19"/>
  <c r="G56" i="13"/>
  <c r="F55" i="4"/>
  <c r="F55" i="9"/>
  <c r="F55" i="11"/>
  <c r="F55" i="15"/>
  <c r="F55" i="17"/>
  <c r="F55" i="19"/>
  <c r="F55" i="13"/>
  <c r="F48" i="4"/>
  <c r="F48" i="9"/>
  <c r="G48" i="9" s="1"/>
  <c r="G47" i="9" s="1"/>
  <c r="F48" i="11"/>
  <c r="G48" i="11" s="1"/>
  <c r="G47" i="11" s="1"/>
  <c r="F48" i="15"/>
  <c r="G48" i="15" s="1"/>
  <c r="G47" i="15" s="1"/>
  <c r="F48" i="17"/>
  <c r="G48" i="17" s="1"/>
  <c r="G47" i="17" s="1"/>
  <c r="F48" i="19"/>
  <c r="G48" i="19" s="1"/>
  <c r="G47" i="19" s="1"/>
  <c r="F48" i="13"/>
  <c r="G48" i="13" s="1"/>
  <c r="G47" i="13" s="1"/>
  <c r="E41" i="19"/>
  <c r="C3" i="19"/>
  <c r="F1" i="20" s="1"/>
  <c r="E41" i="17"/>
  <c r="E42" i="17" s="1"/>
  <c r="C3" i="17"/>
  <c r="F1" i="18" s="1"/>
  <c r="E41" i="15"/>
  <c r="E42" i="15" s="1"/>
  <c r="C3" i="15"/>
  <c r="F1" i="16" s="1"/>
  <c r="E41" i="13"/>
  <c r="C3" i="13"/>
  <c r="F1" i="14" s="1"/>
  <c r="E41" i="11"/>
  <c r="C3" i="11"/>
  <c r="F1" i="12" s="1"/>
  <c r="D150" i="20"/>
  <c r="B150" i="20"/>
  <c r="D149" i="20"/>
  <c r="B149" i="20"/>
  <c r="D148" i="20"/>
  <c r="B148" i="20"/>
  <c r="D147" i="20"/>
  <c r="B147" i="20"/>
  <c r="D146" i="20"/>
  <c r="B146" i="20"/>
  <c r="D145" i="20"/>
  <c r="A145" i="20"/>
  <c r="B122" i="20"/>
  <c r="B101" i="20"/>
  <c r="B80" i="20"/>
  <c r="B56" i="20"/>
  <c r="B32" i="20"/>
  <c r="M6" i="20"/>
  <c r="M7" i="20" s="1"/>
  <c r="H7" i="20" s="1"/>
  <c r="B5" i="20"/>
  <c r="C1" i="20"/>
  <c r="E74" i="19"/>
  <c r="E73" i="19"/>
  <c r="E72" i="19"/>
  <c r="E71" i="19"/>
  <c r="E70" i="19"/>
  <c r="E69" i="19"/>
  <c r="F45" i="19"/>
  <c r="G45" i="19" s="1"/>
  <c r="F44" i="19"/>
  <c r="G44" i="19" s="1"/>
  <c r="F43" i="19"/>
  <c r="G43" i="19" s="1"/>
  <c r="F42" i="19"/>
  <c r="F41" i="19"/>
  <c r="G38" i="19"/>
  <c r="G37" i="19"/>
  <c r="D150" i="18"/>
  <c r="B150" i="18"/>
  <c r="D149" i="18"/>
  <c r="B149" i="18"/>
  <c r="D148" i="18"/>
  <c r="B148" i="18"/>
  <c r="D147" i="18"/>
  <c r="B147" i="18"/>
  <c r="D146" i="18"/>
  <c r="B146" i="18"/>
  <c r="D145" i="18"/>
  <c r="A145" i="18"/>
  <c r="B122" i="18"/>
  <c r="B101" i="18"/>
  <c r="B80" i="18"/>
  <c r="B56" i="18"/>
  <c r="B32" i="18"/>
  <c r="M6" i="18"/>
  <c r="M7" i="18" s="1"/>
  <c r="H7" i="18" s="1"/>
  <c r="B5" i="18"/>
  <c r="C1" i="18"/>
  <c r="E74" i="17"/>
  <c r="E73" i="17"/>
  <c r="E72" i="17"/>
  <c r="E71" i="17"/>
  <c r="E70" i="17"/>
  <c r="E69" i="17"/>
  <c r="F45" i="17"/>
  <c r="G45" i="17" s="1"/>
  <c r="F44" i="17"/>
  <c r="G44" i="17" s="1"/>
  <c r="F43" i="17"/>
  <c r="G43" i="17" s="1"/>
  <c r="F42" i="17"/>
  <c r="F41" i="17"/>
  <c r="G38" i="17"/>
  <c r="G37" i="17"/>
  <c r="D150" i="16"/>
  <c r="B150" i="16"/>
  <c r="D149" i="16"/>
  <c r="B149" i="16"/>
  <c r="D148" i="16"/>
  <c r="B148" i="16"/>
  <c r="D147" i="16"/>
  <c r="B147" i="16"/>
  <c r="D146" i="16"/>
  <c r="B146" i="16"/>
  <c r="D145" i="16"/>
  <c r="A145" i="16"/>
  <c r="B122" i="16"/>
  <c r="B101" i="16"/>
  <c r="B80" i="16"/>
  <c r="B56" i="16"/>
  <c r="B32" i="16"/>
  <c r="M6" i="16"/>
  <c r="M7" i="16" s="1"/>
  <c r="H7" i="16" s="1"/>
  <c r="B5" i="16"/>
  <c r="C1" i="16"/>
  <c r="E74" i="15"/>
  <c r="E73" i="15"/>
  <c r="E72" i="15"/>
  <c r="E71" i="15"/>
  <c r="E70" i="15"/>
  <c r="E69" i="15"/>
  <c r="F45" i="15"/>
  <c r="G45" i="15" s="1"/>
  <c r="F44" i="15"/>
  <c r="G44" i="15" s="1"/>
  <c r="F43" i="15"/>
  <c r="G43" i="15" s="1"/>
  <c r="F42" i="15"/>
  <c r="F41" i="15"/>
  <c r="G38" i="15"/>
  <c r="G37" i="15"/>
  <c r="D150" i="14"/>
  <c r="B150" i="14"/>
  <c r="D149" i="14"/>
  <c r="B149" i="14"/>
  <c r="D148" i="14"/>
  <c r="B148" i="14"/>
  <c r="D147" i="14"/>
  <c r="B147" i="14"/>
  <c r="D146" i="14"/>
  <c r="B146" i="14"/>
  <c r="D145" i="14"/>
  <c r="A145" i="14"/>
  <c r="B122" i="14"/>
  <c r="B101" i="14"/>
  <c r="B80" i="14"/>
  <c r="B56" i="14"/>
  <c r="B32" i="14"/>
  <c r="M6" i="14"/>
  <c r="M7" i="14" s="1"/>
  <c r="B5" i="14"/>
  <c r="C1" i="14"/>
  <c r="E74" i="13"/>
  <c r="E73" i="13"/>
  <c r="E72" i="13"/>
  <c r="E71" i="13"/>
  <c r="E70" i="13"/>
  <c r="E69" i="13"/>
  <c r="F45" i="13"/>
  <c r="G45" i="13" s="1"/>
  <c r="F44" i="13"/>
  <c r="G44" i="13" s="1"/>
  <c r="F43" i="13"/>
  <c r="G43" i="13" s="1"/>
  <c r="F42" i="13"/>
  <c r="F41" i="13"/>
  <c r="G38" i="13"/>
  <c r="G37" i="13"/>
  <c r="D150" i="12"/>
  <c r="B150" i="12"/>
  <c r="D149" i="12"/>
  <c r="B149" i="12"/>
  <c r="D148" i="12"/>
  <c r="B148" i="12"/>
  <c r="D147" i="12"/>
  <c r="B147" i="12"/>
  <c r="D146" i="12"/>
  <c r="B146" i="12"/>
  <c r="D145" i="12"/>
  <c r="A145" i="12"/>
  <c r="B122" i="12"/>
  <c r="B101" i="12"/>
  <c r="B80" i="12"/>
  <c r="B56" i="12"/>
  <c r="B32" i="12"/>
  <c r="M6" i="12"/>
  <c r="M7" i="12" s="1"/>
  <c r="B5" i="12"/>
  <c r="C1" i="12"/>
  <c r="E74" i="11"/>
  <c r="E73" i="11"/>
  <c r="E72" i="11"/>
  <c r="E71" i="11"/>
  <c r="E70" i="11"/>
  <c r="E69" i="11"/>
  <c r="F45" i="11"/>
  <c r="G45" i="11" s="1"/>
  <c r="F44" i="11"/>
  <c r="G44" i="11" s="1"/>
  <c r="F43" i="11"/>
  <c r="G43" i="11" s="1"/>
  <c r="F42" i="11"/>
  <c r="F41" i="11"/>
  <c r="G38" i="11"/>
  <c r="G37" i="11"/>
  <c r="E41" i="9"/>
  <c r="E42" i="9" s="1"/>
  <c r="E41" i="4"/>
  <c r="E42" i="4" s="1"/>
  <c r="C3" i="9"/>
  <c r="F1" i="10" s="1"/>
  <c r="D150" i="10"/>
  <c r="B150" i="10"/>
  <c r="D149" i="10"/>
  <c r="B149" i="10"/>
  <c r="D148" i="10"/>
  <c r="B148" i="10"/>
  <c r="D147" i="10"/>
  <c r="B147" i="10"/>
  <c r="D146" i="10"/>
  <c r="B146" i="10"/>
  <c r="D145" i="10"/>
  <c r="A145" i="10"/>
  <c r="B122" i="10"/>
  <c r="B101" i="10"/>
  <c r="B80" i="10"/>
  <c r="B56" i="10"/>
  <c r="B32" i="10"/>
  <c r="M6" i="10"/>
  <c r="M7" i="10" s="1"/>
  <c r="H7" i="10" s="1"/>
  <c r="B5" i="10"/>
  <c r="C1" i="10"/>
  <c r="E74" i="9"/>
  <c r="E73" i="9"/>
  <c r="E72" i="9"/>
  <c r="E71" i="9"/>
  <c r="E70" i="9"/>
  <c r="E69" i="9"/>
  <c r="F45" i="9"/>
  <c r="G45" i="9" s="1"/>
  <c r="F44" i="9"/>
  <c r="G44" i="9" s="1"/>
  <c r="F43" i="9"/>
  <c r="G43" i="9" s="1"/>
  <c r="F42" i="9"/>
  <c r="F41" i="9"/>
  <c r="C1" i="8"/>
  <c r="E74" i="4"/>
  <c r="B150" i="8"/>
  <c r="E73" i="4"/>
  <c r="B149" i="8"/>
  <c r="E72" i="4"/>
  <c r="B148" i="8"/>
  <c r="E71" i="4"/>
  <c r="B147" i="8"/>
  <c r="E70" i="4"/>
  <c r="B146" i="8"/>
  <c r="E69" i="4"/>
  <c r="A145" i="8"/>
  <c r="B122" i="8"/>
  <c r="B101" i="8"/>
  <c r="B80" i="8"/>
  <c r="B56" i="8"/>
  <c r="B32" i="8"/>
  <c r="M6" i="8"/>
  <c r="M7" i="8" s="1"/>
  <c r="B5" i="8"/>
  <c r="I21" i="2"/>
  <c r="I20" i="2"/>
  <c r="I18" i="2"/>
  <c r="G9" i="2"/>
  <c r="F24" i="2"/>
  <c r="F8" i="2"/>
  <c r="E22" i="2"/>
  <c r="E19" i="2"/>
  <c r="E12" i="2"/>
  <c r="D23" i="2"/>
  <c r="D13" i="2"/>
  <c r="D7" i="2"/>
  <c r="D6" i="2"/>
  <c r="C14" i="2"/>
  <c r="C11" i="2"/>
  <c r="C5" i="2"/>
  <c r="G41" i="19" l="1"/>
  <c r="G42" i="17"/>
  <c r="G41" i="11"/>
  <c r="E55" i="11"/>
  <c r="G55" i="11" s="1"/>
  <c r="G54" i="11" s="1"/>
  <c r="E55" i="19"/>
  <c r="G55" i="19" s="1"/>
  <c r="G54" i="19" s="1"/>
  <c r="D7" i="16"/>
  <c r="D9" i="16"/>
  <c r="D8" i="16"/>
  <c r="D9" i="20"/>
  <c r="D8" i="20"/>
  <c r="D7" i="20"/>
  <c r="D8" i="10"/>
  <c r="D9" i="10"/>
  <c r="D7" i="10"/>
  <c r="D8" i="18"/>
  <c r="D7" i="18"/>
  <c r="D9" i="18"/>
  <c r="D43" i="10"/>
  <c r="F43" i="10" s="1"/>
  <c r="F42" i="10" s="1"/>
  <c r="D43" i="12"/>
  <c r="F43" i="12" s="1"/>
  <c r="F42" i="12" s="1"/>
  <c r="D43" i="16"/>
  <c r="F43" i="16" s="1"/>
  <c r="F42" i="16" s="1"/>
  <c r="D43" i="20"/>
  <c r="F43" i="20" s="1"/>
  <c r="F42" i="20" s="1"/>
  <c r="D43" i="14"/>
  <c r="F43" i="14" s="1"/>
  <c r="F42" i="14" s="1"/>
  <c r="D43" i="18"/>
  <c r="F43" i="18" s="1"/>
  <c r="F42" i="18" s="1"/>
  <c r="D125" i="20"/>
  <c r="D127" i="20"/>
  <c r="D126" i="20"/>
  <c r="D67" i="20"/>
  <c r="D124" i="20"/>
  <c r="D125" i="10"/>
  <c r="D127" i="10"/>
  <c r="D126" i="10"/>
  <c r="D67" i="10"/>
  <c r="F67" i="10" s="1"/>
  <c r="F66" i="10" s="1"/>
  <c r="D124" i="10"/>
  <c r="D127" i="14"/>
  <c r="D126" i="14"/>
  <c r="D125" i="14"/>
  <c r="D67" i="14"/>
  <c r="F67" i="14" s="1"/>
  <c r="F66" i="14" s="1"/>
  <c r="D124" i="14"/>
  <c r="D127" i="18"/>
  <c r="D125" i="18"/>
  <c r="D126" i="18"/>
  <c r="D67" i="18"/>
  <c r="F67" i="18" s="1"/>
  <c r="F66" i="18" s="1"/>
  <c r="D124" i="18"/>
  <c r="D126" i="12"/>
  <c r="D127" i="12"/>
  <c r="D125" i="12"/>
  <c r="D124" i="12"/>
  <c r="D127" i="16"/>
  <c r="D125" i="16"/>
  <c r="D126" i="16"/>
  <c r="D67" i="16"/>
  <c r="F67" i="16" s="1"/>
  <c r="F66" i="16" s="1"/>
  <c r="D124" i="16"/>
  <c r="D67" i="12"/>
  <c r="F67" i="12" s="1"/>
  <c r="F66" i="12" s="1"/>
  <c r="D36" i="20"/>
  <c r="G36" i="19"/>
  <c r="E55" i="4"/>
  <c r="G55" i="4" s="1"/>
  <c r="D103" i="10"/>
  <c r="G36" i="11"/>
  <c r="G41" i="13"/>
  <c r="G42" i="9"/>
  <c r="D83" i="20"/>
  <c r="D104" i="20"/>
  <c r="F67" i="20"/>
  <c r="F66" i="20" s="1"/>
  <c r="E55" i="13"/>
  <c r="G55" i="13" s="1"/>
  <c r="G54" i="13" s="1"/>
  <c r="D58" i="20"/>
  <c r="G42" i="15"/>
  <c r="G36" i="13"/>
  <c r="G36" i="17"/>
  <c r="G36" i="15"/>
  <c r="D59" i="10"/>
  <c r="D35" i="10"/>
  <c r="E42" i="19"/>
  <c r="G42" i="19" s="1"/>
  <c r="G40" i="19" s="1"/>
  <c r="G41" i="17"/>
  <c r="G40" i="17" s="1"/>
  <c r="G41" i="15"/>
  <c r="D35" i="16"/>
  <c r="D58" i="16"/>
  <c r="D82" i="16"/>
  <c r="D104" i="16"/>
  <c r="D34" i="16"/>
  <c r="D59" i="16"/>
  <c r="D83" i="16"/>
  <c r="D103" i="16"/>
  <c r="E42" i="13"/>
  <c r="G42" i="13" s="1"/>
  <c r="H7" i="12"/>
  <c r="E42" i="11"/>
  <c r="G42" i="11" s="1"/>
  <c r="D34" i="12"/>
  <c r="D58" i="12"/>
  <c r="D82" i="12"/>
  <c r="D103" i="12"/>
  <c r="D36" i="14"/>
  <c r="D60" i="12"/>
  <c r="D84" i="12"/>
  <c r="D105" i="12"/>
  <c r="D104" i="14"/>
  <c r="D83" i="14"/>
  <c r="D59" i="14"/>
  <c r="D35" i="14"/>
  <c r="D103" i="14"/>
  <c r="D82" i="14"/>
  <c r="D58" i="14"/>
  <c r="D34" i="14"/>
  <c r="H7" i="14"/>
  <c r="D84" i="14"/>
  <c r="D105" i="14"/>
  <c r="D36" i="12"/>
  <c r="D35" i="12"/>
  <c r="D59" i="12"/>
  <c r="D83" i="12"/>
  <c r="D104" i="12"/>
  <c r="D60" i="14"/>
  <c r="D103" i="18"/>
  <c r="D82" i="18"/>
  <c r="D58" i="18"/>
  <c r="D105" i="18"/>
  <c r="D84" i="18"/>
  <c r="D60" i="18"/>
  <c r="D36" i="18"/>
  <c r="D83" i="18"/>
  <c r="D59" i="18"/>
  <c r="D35" i="18"/>
  <c r="D104" i="18"/>
  <c r="D34" i="18"/>
  <c r="D36" i="16"/>
  <c r="D60" i="16"/>
  <c r="D84" i="16"/>
  <c r="D105" i="16"/>
  <c r="D34" i="20"/>
  <c r="D59" i="20"/>
  <c r="D82" i="20"/>
  <c r="D103" i="20"/>
  <c r="D105" i="20"/>
  <c r="D84" i="20"/>
  <c r="D60" i="20"/>
  <c r="D35" i="20"/>
  <c r="G41" i="9"/>
  <c r="D82" i="10"/>
  <c r="D34" i="10"/>
  <c r="D105" i="10"/>
  <c r="D84" i="10"/>
  <c r="D60" i="10"/>
  <c r="D36" i="10"/>
  <c r="D58" i="10"/>
  <c r="D83" i="10"/>
  <c r="D104" i="10"/>
  <c r="H7" i="8"/>
  <c r="F50" i="5"/>
  <c r="G50" i="5" s="1"/>
  <c r="F49" i="5"/>
  <c r="F48" i="5"/>
  <c r="G48" i="5" s="1"/>
  <c r="F42" i="5"/>
  <c r="F43" i="5" s="1"/>
  <c r="G43" i="5" s="1"/>
  <c r="G41" i="5"/>
  <c r="F40" i="5"/>
  <c r="G38" i="9" s="1"/>
  <c r="F38" i="5"/>
  <c r="G37" i="9" s="1"/>
  <c r="F29" i="5"/>
  <c r="G29" i="5" s="1"/>
  <c r="F28" i="5"/>
  <c r="G28" i="5" s="1"/>
  <c r="F27" i="5"/>
  <c r="F26" i="5"/>
  <c r="G26" i="5" s="1"/>
  <c r="F25" i="5"/>
  <c r="G25" i="5" s="1"/>
  <c r="F23" i="5"/>
  <c r="G23" i="5" s="1"/>
  <c r="F22" i="5"/>
  <c r="F21" i="5"/>
  <c r="G21" i="5" s="1"/>
  <c r="F20" i="5"/>
  <c r="G20" i="5" s="1"/>
  <c r="F19" i="5"/>
  <c r="G19" i="5" s="1"/>
  <c r="F17" i="5"/>
  <c r="G17" i="5" s="1"/>
  <c r="F16" i="5"/>
  <c r="F15" i="5"/>
  <c r="G15" i="5" s="1"/>
  <c r="F14" i="5"/>
  <c r="G14" i="5" s="1"/>
  <c r="F13" i="5"/>
  <c r="F11" i="5"/>
  <c r="AQ24" i="6"/>
  <c r="AT24" i="6" s="1"/>
  <c r="AL24" i="6"/>
  <c r="AN24" i="6" s="1"/>
  <c r="AK24" i="6"/>
  <c r="AH24" i="6"/>
  <c r="AW24" i="6" s="1"/>
  <c r="AA24" i="6"/>
  <c r="AD24" i="6" s="1"/>
  <c r="W24" i="6"/>
  <c r="Z24" i="6" s="1"/>
  <c r="V24" i="6"/>
  <c r="AV24" i="6" s="1"/>
  <c r="Q24" i="6"/>
  <c r="S24" i="6" s="1"/>
  <c r="N24" i="6"/>
  <c r="P24" i="6" s="1"/>
  <c r="M24" i="6"/>
  <c r="AU24" i="6" s="1"/>
  <c r="I24" i="6"/>
  <c r="H24" i="6"/>
  <c r="E24" i="6"/>
  <c r="G24" i="6" s="1"/>
  <c r="AQ23" i="6"/>
  <c r="AT23" i="6" s="1"/>
  <c r="AL23" i="6"/>
  <c r="AN23" i="6" s="1"/>
  <c r="AK23" i="6"/>
  <c r="AH23" i="6"/>
  <c r="AW23" i="6" s="1"/>
  <c r="AA23" i="6"/>
  <c r="AD23" i="6" s="1"/>
  <c r="W23" i="6"/>
  <c r="Z23" i="6" s="1"/>
  <c r="V23" i="6"/>
  <c r="AV23" i="6" s="1"/>
  <c r="Q23" i="6"/>
  <c r="S23" i="6" s="1"/>
  <c r="N23" i="6"/>
  <c r="P23" i="6" s="1"/>
  <c r="M23" i="6"/>
  <c r="AU23" i="6" s="1"/>
  <c r="I23" i="6"/>
  <c r="H23" i="6"/>
  <c r="E23" i="6"/>
  <c r="G23" i="6" s="1"/>
  <c r="AQ22" i="6"/>
  <c r="AT22" i="6" s="1"/>
  <c r="AL22" i="6"/>
  <c r="AN22" i="6" s="1"/>
  <c r="AK22" i="6"/>
  <c r="AH22" i="6"/>
  <c r="AW22" i="6" s="1"/>
  <c r="AA22" i="6"/>
  <c r="AD22" i="6" s="1"/>
  <c r="W22" i="6"/>
  <c r="Z22" i="6" s="1"/>
  <c r="V22" i="6"/>
  <c r="AV22" i="6" s="1"/>
  <c r="Q22" i="6"/>
  <c r="S22" i="6" s="1"/>
  <c r="N22" i="6"/>
  <c r="P22" i="6" s="1"/>
  <c r="M22" i="6"/>
  <c r="AU22" i="6" s="1"/>
  <c r="I22" i="6"/>
  <c r="H22" i="6"/>
  <c r="E22" i="6"/>
  <c r="G22" i="6" s="1"/>
  <c r="AQ21" i="6"/>
  <c r="AT21" i="6" s="1"/>
  <c r="AL21" i="6"/>
  <c r="AN21" i="6" s="1"/>
  <c r="AK21" i="6"/>
  <c r="AH21" i="6"/>
  <c r="AW21" i="6" s="1"/>
  <c r="AA21" i="6"/>
  <c r="AD21" i="6" s="1"/>
  <c r="W21" i="6"/>
  <c r="Z21" i="6" s="1"/>
  <c r="V21" i="6"/>
  <c r="AV21" i="6" s="1"/>
  <c r="Q21" i="6"/>
  <c r="S21" i="6" s="1"/>
  <c r="N21" i="6"/>
  <c r="P21" i="6" s="1"/>
  <c r="M21" i="6"/>
  <c r="AU21" i="6" s="1"/>
  <c r="I21" i="6"/>
  <c r="H21" i="6"/>
  <c r="E21" i="6"/>
  <c r="G21" i="6" s="1"/>
  <c r="AQ20" i="6"/>
  <c r="AT20" i="6" s="1"/>
  <c r="AL20" i="6"/>
  <c r="AN20" i="6" s="1"/>
  <c r="AK20" i="6"/>
  <c r="AH20" i="6"/>
  <c r="AW20" i="6" s="1"/>
  <c r="AA20" i="6"/>
  <c r="AD20" i="6" s="1"/>
  <c r="W20" i="6"/>
  <c r="Z20" i="6" s="1"/>
  <c r="V20" i="6"/>
  <c r="AV20" i="6" s="1"/>
  <c r="Q20" i="6"/>
  <c r="S20" i="6" s="1"/>
  <c r="N20" i="6"/>
  <c r="P20" i="6" s="1"/>
  <c r="M20" i="6"/>
  <c r="AU20" i="6" s="1"/>
  <c r="I20" i="6"/>
  <c r="H20" i="6"/>
  <c r="E20" i="6"/>
  <c r="G20" i="6" s="1"/>
  <c r="AQ19" i="6"/>
  <c r="AT19" i="6" s="1"/>
  <c r="AL19" i="6"/>
  <c r="AN19" i="6" s="1"/>
  <c r="AK19" i="6"/>
  <c r="AH19" i="6"/>
  <c r="AW19" i="6" s="1"/>
  <c r="AA19" i="6"/>
  <c r="AD19" i="6" s="1"/>
  <c r="W19" i="6"/>
  <c r="Z19" i="6" s="1"/>
  <c r="V19" i="6"/>
  <c r="AV19" i="6" s="1"/>
  <c r="Q19" i="6"/>
  <c r="S19" i="6" s="1"/>
  <c r="N19" i="6"/>
  <c r="P19" i="6" s="1"/>
  <c r="M19" i="6"/>
  <c r="AU19" i="6" s="1"/>
  <c r="I19" i="6"/>
  <c r="H19" i="6"/>
  <c r="J19" i="6" s="1"/>
  <c r="E19" i="6"/>
  <c r="G19" i="6" s="1"/>
  <c r="AQ18" i="6"/>
  <c r="AT18" i="6" s="1"/>
  <c r="AL18" i="6"/>
  <c r="AN18" i="6" s="1"/>
  <c r="AK18" i="6"/>
  <c r="AH18" i="6"/>
  <c r="AW18" i="6" s="1"/>
  <c r="AA18" i="6"/>
  <c r="AD18" i="6" s="1"/>
  <c r="W18" i="6"/>
  <c r="Z18" i="6" s="1"/>
  <c r="V18" i="6"/>
  <c r="AV18" i="6" s="1"/>
  <c r="Q18" i="6"/>
  <c r="S18" i="6" s="1"/>
  <c r="N18" i="6"/>
  <c r="P18" i="6" s="1"/>
  <c r="M18" i="6"/>
  <c r="AU18" i="6" s="1"/>
  <c r="I18" i="6"/>
  <c r="H18" i="6"/>
  <c r="E18" i="6"/>
  <c r="G18" i="6" s="1"/>
  <c r="AQ17" i="6"/>
  <c r="AT17" i="6" s="1"/>
  <c r="AK17" i="6"/>
  <c r="AH17" i="6"/>
  <c r="AW17" i="6" s="1"/>
  <c r="W17" i="6"/>
  <c r="Z17" i="6" s="1"/>
  <c r="V17" i="6"/>
  <c r="AV17" i="6" s="1"/>
  <c r="M17" i="6"/>
  <c r="AU17" i="6" s="1"/>
  <c r="I17" i="6"/>
  <c r="D17" i="6"/>
  <c r="Q17" i="6" s="1"/>
  <c r="S17" i="6" s="1"/>
  <c r="AQ16" i="6"/>
  <c r="AT16" i="6" s="1"/>
  <c r="AL16" i="6"/>
  <c r="AN16" i="6" s="1"/>
  <c r="AK16" i="6"/>
  <c r="AH16" i="6"/>
  <c r="AW16" i="6" s="1"/>
  <c r="AA16" i="6"/>
  <c r="AD16" i="6" s="1"/>
  <c r="W16" i="6"/>
  <c r="Z16" i="6" s="1"/>
  <c r="V16" i="6"/>
  <c r="AV16" i="6" s="1"/>
  <c r="Q16" i="6"/>
  <c r="S16" i="6" s="1"/>
  <c r="N16" i="6"/>
  <c r="P16" i="6" s="1"/>
  <c r="M16" i="6"/>
  <c r="AU16" i="6" s="1"/>
  <c r="I16" i="6"/>
  <c r="H16" i="6"/>
  <c r="E16" i="6"/>
  <c r="G16" i="6" s="1"/>
  <c r="AQ15" i="6"/>
  <c r="AT15" i="6" s="1"/>
  <c r="AL15" i="6"/>
  <c r="AN15" i="6" s="1"/>
  <c r="AK15" i="6"/>
  <c r="AH15" i="6"/>
  <c r="AW15" i="6" s="1"/>
  <c r="AA15" i="6"/>
  <c r="AD15" i="6" s="1"/>
  <c r="W15" i="6"/>
  <c r="Z15" i="6" s="1"/>
  <c r="V15" i="6"/>
  <c r="AV15" i="6" s="1"/>
  <c r="Q15" i="6"/>
  <c r="S15" i="6" s="1"/>
  <c r="N15" i="6"/>
  <c r="P15" i="6" s="1"/>
  <c r="M15" i="6"/>
  <c r="AU15" i="6" s="1"/>
  <c r="I15" i="6"/>
  <c r="H15" i="6"/>
  <c r="E15" i="6"/>
  <c r="G15" i="6" s="1"/>
  <c r="AQ14" i="6"/>
  <c r="AT14" i="6" s="1"/>
  <c r="AL14" i="6"/>
  <c r="AN14" i="6" s="1"/>
  <c r="AK14" i="6"/>
  <c r="AH14" i="6"/>
  <c r="AW14" i="6" s="1"/>
  <c r="AA14" i="6"/>
  <c r="AD14" i="6" s="1"/>
  <c r="W14" i="6"/>
  <c r="Z14" i="6" s="1"/>
  <c r="V14" i="6"/>
  <c r="AV14" i="6" s="1"/>
  <c r="Q14" i="6"/>
  <c r="S14" i="6" s="1"/>
  <c r="N14" i="6"/>
  <c r="P14" i="6" s="1"/>
  <c r="M14" i="6"/>
  <c r="AU14" i="6" s="1"/>
  <c r="I14" i="6"/>
  <c r="H14" i="6"/>
  <c r="E14" i="6"/>
  <c r="G14" i="6" s="1"/>
  <c r="AQ13" i="6"/>
  <c r="AT13" i="6" s="1"/>
  <c r="AL13" i="6"/>
  <c r="AN13" i="6" s="1"/>
  <c r="AK13" i="6"/>
  <c r="AH13" i="6"/>
  <c r="AW13" i="6" s="1"/>
  <c r="AA13" i="6"/>
  <c r="AD13" i="6" s="1"/>
  <c r="W13" i="6"/>
  <c r="Z13" i="6" s="1"/>
  <c r="V13" i="6"/>
  <c r="AV13" i="6" s="1"/>
  <c r="Q13" i="6"/>
  <c r="S13" i="6" s="1"/>
  <c r="N13" i="6"/>
  <c r="P13" i="6" s="1"/>
  <c r="M13" i="6"/>
  <c r="AU13" i="6" s="1"/>
  <c r="I13" i="6"/>
  <c r="H13" i="6"/>
  <c r="E13" i="6"/>
  <c r="G13" i="6" s="1"/>
  <c r="AQ12" i="6"/>
  <c r="AT12" i="6" s="1"/>
  <c r="AL12" i="6"/>
  <c r="AN12" i="6" s="1"/>
  <c r="AK12" i="6"/>
  <c r="AH12" i="6"/>
  <c r="AW12" i="6" s="1"/>
  <c r="AA12" i="6"/>
  <c r="AD12" i="6" s="1"/>
  <c r="W12" i="6"/>
  <c r="Z12" i="6" s="1"/>
  <c r="V12" i="6"/>
  <c r="AV12" i="6" s="1"/>
  <c r="Q12" i="6"/>
  <c r="S12" i="6" s="1"/>
  <c r="N12" i="6"/>
  <c r="P12" i="6" s="1"/>
  <c r="M12" i="6"/>
  <c r="AU12" i="6" s="1"/>
  <c r="I12" i="6"/>
  <c r="H12" i="6"/>
  <c r="E12" i="6"/>
  <c r="G12" i="6" s="1"/>
  <c r="AQ11" i="6"/>
  <c r="AT11" i="6" s="1"/>
  <c r="AL11" i="6"/>
  <c r="AN11" i="6" s="1"/>
  <c r="AK11" i="6"/>
  <c r="AH11" i="6"/>
  <c r="AW11" i="6" s="1"/>
  <c r="AA11" i="6"/>
  <c r="AD11" i="6" s="1"/>
  <c r="W11" i="6"/>
  <c r="Z11" i="6" s="1"/>
  <c r="V11" i="6"/>
  <c r="AV11" i="6" s="1"/>
  <c r="Q11" i="6"/>
  <c r="S11" i="6" s="1"/>
  <c r="N11" i="6"/>
  <c r="P11" i="6" s="1"/>
  <c r="M11" i="6"/>
  <c r="AU11" i="6" s="1"/>
  <c r="I11" i="6"/>
  <c r="H11" i="6"/>
  <c r="E11" i="6"/>
  <c r="G11" i="6" s="1"/>
  <c r="AQ10" i="6"/>
  <c r="AT10" i="6" s="1"/>
  <c r="AL10" i="6"/>
  <c r="AN10" i="6" s="1"/>
  <c r="AK10" i="6"/>
  <c r="AH10" i="6"/>
  <c r="AW10" i="6" s="1"/>
  <c r="AA10" i="6"/>
  <c r="AD10" i="6" s="1"/>
  <c r="W10" i="6"/>
  <c r="Z10" i="6" s="1"/>
  <c r="V10" i="6"/>
  <c r="AV10" i="6" s="1"/>
  <c r="Q10" i="6"/>
  <c r="S10" i="6" s="1"/>
  <c r="N10" i="6"/>
  <c r="P10" i="6" s="1"/>
  <c r="M10" i="6"/>
  <c r="AU10" i="6" s="1"/>
  <c r="I10" i="6"/>
  <c r="H10" i="6"/>
  <c r="E10" i="6"/>
  <c r="G10" i="6" s="1"/>
  <c r="AQ9" i="6"/>
  <c r="AT9" i="6" s="1"/>
  <c r="AL9" i="6"/>
  <c r="AN9" i="6" s="1"/>
  <c r="AK9" i="6"/>
  <c r="AH9" i="6"/>
  <c r="AW9" i="6" s="1"/>
  <c r="AA9" i="6"/>
  <c r="AD9" i="6" s="1"/>
  <c r="W9" i="6"/>
  <c r="Z9" i="6" s="1"/>
  <c r="V9" i="6"/>
  <c r="AV9" i="6" s="1"/>
  <c r="Q9" i="6"/>
  <c r="S9" i="6" s="1"/>
  <c r="N9" i="6"/>
  <c r="P9" i="6" s="1"/>
  <c r="M9" i="6"/>
  <c r="AU9" i="6" s="1"/>
  <c r="I9" i="6"/>
  <c r="H9" i="6"/>
  <c r="E9" i="6"/>
  <c r="G9" i="6" s="1"/>
  <c r="AQ8" i="6"/>
  <c r="AT8" i="6" s="1"/>
  <c r="AL8" i="6"/>
  <c r="AN8" i="6" s="1"/>
  <c r="AK8" i="6"/>
  <c r="AH8" i="6"/>
  <c r="AW8" i="6" s="1"/>
  <c r="AA8" i="6"/>
  <c r="AD8" i="6" s="1"/>
  <c r="W8" i="6"/>
  <c r="Z8" i="6" s="1"/>
  <c r="V8" i="6"/>
  <c r="AV8" i="6" s="1"/>
  <c r="Q8" i="6"/>
  <c r="S8" i="6" s="1"/>
  <c r="N8" i="6"/>
  <c r="P8" i="6" s="1"/>
  <c r="M8" i="6"/>
  <c r="AU8" i="6" s="1"/>
  <c r="I8" i="6"/>
  <c r="H8" i="6"/>
  <c r="E8" i="6"/>
  <c r="G8" i="6" s="1"/>
  <c r="AQ7" i="6"/>
  <c r="AT7" i="6" s="1"/>
  <c r="AL7" i="6"/>
  <c r="AN7" i="6" s="1"/>
  <c r="AK7" i="6"/>
  <c r="AH7" i="6"/>
  <c r="AW7" i="6" s="1"/>
  <c r="AA7" i="6"/>
  <c r="AD7" i="6" s="1"/>
  <c r="W7" i="6"/>
  <c r="Z7" i="6" s="1"/>
  <c r="V7" i="6"/>
  <c r="AV7" i="6" s="1"/>
  <c r="Q7" i="6"/>
  <c r="S7" i="6" s="1"/>
  <c r="N7" i="6"/>
  <c r="P7" i="6" s="1"/>
  <c r="M7" i="6"/>
  <c r="AU7" i="6" s="1"/>
  <c r="I7" i="6"/>
  <c r="H7" i="6"/>
  <c r="E7" i="6"/>
  <c r="G7" i="6" s="1"/>
  <c r="AQ6" i="6"/>
  <c r="AT6" i="6" s="1"/>
  <c r="AL6" i="6"/>
  <c r="AN6" i="6" s="1"/>
  <c r="AK6" i="6"/>
  <c r="AH6" i="6"/>
  <c r="AW6" i="6" s="1"/>
  <c r="AA6" i="6"/>
  <c r="AD6" i="6" s="1"/>
  <c r="W6" i="6"/>
  <c r="Z6" i="6" s="1"/>
  <c r="V6" i="6"/>
  <c r="AV6" i="6" s="1"/>
  <c r="Q6" i="6"/>
  <c r="S6" i="6" s="1"/>
  <c r="N6" i="6"/>
  <c r="P6" i="6" s="1"/>
  <c r="M6" i="6"/>
  <c r="AU6" i="6" s="1"/>
  <c r="I6" i="6"/>
  <c r="H6" i="6"/>
  <c r="E6" i="6"/>
  <c r="G6" i="6" s="1"/>
  <c r="AQ5" i="6"/>
  <c r="AL5" i="6"/>
  <c r="AN5" i="6" s="1"/>
  <c r="AK5" i="6"/>
  <c r="AH5" i="6"/>
  <c r="AW5" i="6" s="1"/>
  <c r="AA5" i="6"/>
  <c r="AD5" i="6" s="1"/>
  <c r="W5" i="6"/>
  <c r="Z5" i="6" s="1"/>
  <c r="V5" i="6"/>
  <c r="AV5" i="6" s="1"/>
  <c r="Q5" i="6"/>
  <c r="S5" i="6" s="1"/>
  <c r="N5" i="6"/>
  <c r="P5" i="6" s="1"/>
  <c r="M5" i="6"/>
  <c r="I5" i="6"/>
  <c r="H5" i="6"/>
  <c r="E5" i="6"/>
  <c r="G5" i="6" s="1"/>
  <c r="G116" i="5"/>
  <c r="G117" i="5" s="1"/>
  <c r="G114" i="5"/>
  <c r="G113" i="5"/>
  <c r="G112" i="5"/>
  <c r="G47" i="5"/>
  <c r="F45" i="5"/>
  <c r="G45" i="5" s="1"/>
  <c r="F44" i="5"/>
  <c r="G44" i="5" s="1"/>
  <c r="C3" i="4"/>
  <c r="F1" i="8" s="1"/>
  <c r="G56" i="4"/>
  <c r="G48" i="4"/>
  <c r="G47" i="4" s="1"/>
  <c r="F45" i="4"/>
  <c r="G45" i="4" s="1"/>
  <c r="F44" i="4"/>
  <c r="G44" i="4" s="1"/>
  <c r="F43" i="4"/>
  <c r="G43" i="4" s="1"/>
  <c r="F42" i="4"/>
  <c r="G42" i="4" s="1"/>
  <c r="F41" i="4"/>
  <c r="G42" i="5" l="1"/>
  <c r="G40" i="13"/>
  <c r="G40" i="11"/>
  <c r="D8" i="8"/>
  <c r="D9" i="8"/>
  <c r="D7" i="8"/>
  <c r="D9" i="12"/>
  <c r="D8" i="12"/>
  <c r="D7" i="12"/>
  <c r="F7" i="12" s="1"/>
  <c r="D9" i="14"/>
  <c r="D7" i="14"/>
  <c r="F7" i="14" s="1"/>
  <c r="D8" i="14"/>
  <c r="D43" i="8"/>
  <c r="F43" i="8" s="1"/>
  <c r="F42" i="8" s="1"/>
  <c r="J20" i="6"/>
  <c r="J13" i="6"/>
  <c r="J18" i="6"/>
  <c r="J24" i="6"/>
  <c r="D125" i="8"/>
  <c r="D126" i="8"/>
  <c r="D127" i="8"/>
  <c r="D67" i="8"/>
  <c r="F67" i="8" s="1"/>
  <c r="F66" i="8" s="1"/>
  <c r="D124" i="8"/>
  <c r="E125" i="12"/>
  <c r="F125" i="12" s="1"/>
  <c r="E125" i="8"/>
  <c r="G38" i="5"/>
  <c r="G115" i="5"/>
  <c r="F76" i="5" s="1"/>
  <c r="F80" i="5" s="1"/>
  <c r="J10" i="6"/>
  <c r="J12" i="6"/>
  <c r="J23" i="6"/>
  <c r="E124" i="8"/>
  <c r="E124" i="16"/>
  <c r="F124" i="16" s="1"/>
  <c r="E124" i="20"/>
  <c r="E124" i="14"/>
  <c r="F124" i="14" s="1"/>
  <c r="E124" i="10"/>
  <c r="F124" i="10" s="1"/>
  <c r="E124" i="18"/>
  <c r="F124" i="18" s="1"/>
  <c r="F124" i="20"/>
  <c r="D138" i="20"/>
  <c r="D138" i="18"/>
  <c r="AK25" i="6"/>
  <c r="J6" i="6"/>
  <c r="J14" i="6"/>
  <c r="J16" i="6"/>
  <c r="J22" i="6"/>
  <c r="F124" i="12"/>
  <c r="D138" i="12"/>
  <c r="D138" i="10"/>
  <c r="D138" i="16"/>
  <c r="D138" i="14"/>
  <c r="G40" i="15"/>
  <c r="G40" i="9"/>
  <c r="G36" i="9"/>
  <c r="N17" i="6"/>
  <c r="P17" i="6" s="1"/>
  <c r="P25" i="6" s="1"/>
  <c r="F13" i="15"/>
  <c r="G13" i="15" s="1"/>
  <c r="F13" i="4"/>
  <c r="G13" i="4" s="1"/>
  <c r="F13" i="17"/>
  <c r="G13" i="17" s="1"/>
  <c r="F13" i="9"/>
  <c r="G13" i="9" s="1"/>
  <c r="F13" i="19"/>
  <c r="G13" i="19" s="1"/>
  <c r="F13" i="11"/>
  <c r="G13" i="11" s="1"/>
  <c r="F13" i="13"/>
  <c r="G13" i="13" s="1"/>
  <c r="E126" i="14"/>
  <c r="F126" i="14" s="1"/>
  <c r="E126" i="10"/>
  <c r="F126" i="10" s="1"/>
  <c r="E104" i="8"/>
  <c r="E104" i="18"/>
  <c r="F104" i="18" s="1"/>
  <c r="E59" i="14"/>
  <c r="F59" i="14" s="1"/>
  <c r="E59" i="10"/>
  <c r="F59" i="10" s="1"/>
  <c r="E35" i="8"/>
  <c r="E35" i="18"/>
  <c r="F35" i="18" s="1"/>
  <c r="E126" i="16"/>
  <c r="F126" i="16" s="1"/>
  <c r="E104" i="12"/>
  <c r="F104" i="12" s="1"/>
  <c r="E104" i="20"/>
  <c r="F104" i="20" s="1"/>
  <c r="E59" i="16"/>
  <c r="F59" i="16" s="1"/>
  <c r="E35" i="12"/>
  <c r="F35" i="12" s="1"/>
  <c r="E35" i="20"/>
  <c r="F35" i="20" s="1"/>
  <c r="E126" i="8"/>
  <c r="E126" i="18"/>
  <c r="F126" i="18" s="1"/>
  <c r="E104" i="14"/>
  <c r="F104" i="14" s="1"/>
  <c r="E104" i="10"/>
  <c r="F104" i="10" s="1"/>
  <c r="E59" i="8"/>
  <c r="E59" i="18"/>
  <c r="F59" i="18" s="1"/>
  <c r="E35" i="14"/>
  <c r="F35" i="14" s="1"/>
  <c r="E35" i="10"/>
  <c r="F35" i="10" s="1"/>
  <c r="E104" i="16"/>
  <c r="F104" i="16" s="1"/>
  <c r="F22" i="4"/>
  <c r="G22" i="4" s="1"/>
  <c r="F22" i="17"/>
  <c r="G22" i="17" s="1"/>
  <c r="E35" i="16"/>
  <c r="F35" i="16" s="1"/>
  <c r="F22" i="9"/>
  <c r="G22" i="9" s="1"/>
  <c r="F22" i="19"/>
  <c r="G22" i="19" s="1"/>
  <c r="E126" i="12"/>
  <c r="F126" i="12" s="1"/>
  <c r="E59" i="12"/>
  <c r="F59" i="12" s="1"/>
  <c r="F22" i="11"/>
  <c r="G22" i="11" s="1"/>
  <c r="F22" i="13"/>
  <c r="G22" i="13" s="1"/>
  <c r="E126" i="20"/>
  <c r="F126" i="20" s="1"/>
  <c r="E59" i="20"/>
  <c r="F59" i="20" s="1"/>
  <c r="F22" i="15"/>
  <c r="G22" i="15" s="1"/>
  <c r="E127" i="12"/>
  <c r="F127" i="12" s="1"/>
  <c r="E127" i="20"/>
  <c r="F127" i="20" s="1"/>
  <c r="E105" i="16"/>
  <c r="F105" i="16" s="1"/>
  <c r="E84" i="14"/>
  <c r="F84" i="14" s="1"/>
  <c r="E84" i="10"/>
  <c r="F84" i="10" s="1"/>
  <c r="E60" i="12"/>
  <c r="F60" i="12" s="1"/>
  <c r="E60" i="20"/>
  <c r="F60" i="20" s="1"/>
  <c r="E36" i="16"/>
  <c r="F36" i="16" s="1"/>
  <c r="E9" i="12"/>
  <c r="E9" i="20"/>
  <c r="F9" i="20" s="1"/>
  <c r="F26" i="11"/>
  <c r="G26" i="11" s="1"/>
  <c r="F26" i="13"/>
  <c r="G26" i="13" s="1"/>
  <c r="E127" i="14"/>
  <c r="F127" i="14" s="1"/>
  <c r="E127" i="10"/>
  <c r="F127" i="10" s="1"/>
  <c r="E105" i="8"/>
  <c r="E105" i="18"/>
  <c r="F105" i="18" s="1"/>
  <c r="E84" i="16"/>
  <c r="F84" i="16" s="1"/>
  <c r="E60" i="14"/>
  <c r="F60" i="14" s="1"/>
  <c r="E60" i="10"/>
  <c r="F60" i="10" s="1"/>
  <c r="E36" i="8"/>
  <c r="E36" i="18"/>
  <c r="F36" i="18" s="1"/>
  <c r="E9" i="14"/>
  <c r="E9" i="10"/>
  <c r="F9" i="10" s="1"/>
  <c r="E127" i="16"/>
  <c r="F127" i="16" s="1"/>
  <c r="E105" i="12"/>
  <c r="F105" i="12" s="1"/>
  <c r="E105" i="20"/>
  <c r="F105" i="20" s="1"/>
  <c r="E84" i="8"/>
  <c r="E84" i="18"/>
  <c r="F84" i="18" s="1"/>
  <c r="E60" i="16"/>
  <c r="F60" i="16" s="1"/>
  <c r="E36" i="12"/>
  <c r="F36" i="12" s="1"/>
  <c r="E36" i="20"/>
  <c r="F36" i="20" s="1"/>
  <c r="E9" i="16"/>
  <c r="F9" i="16" s="1"/>
  <c r="E127" i="8"/>
  <c r="E84" i="20"/>
  <c r="F84" i="20" s="1"/>
  <c r="E60" i="8"/>
  <c r="E36" i="10"/>
  <c r="F36" i="10" s="1"/>
  <c r="E9" i="8"/>
  <c r="F26" i="4"/>
  <c r="G26" i="4" s="1"/>
  <c r="F26" i="19"/>
  <c r="G26" i="19" s="1"/>
  <c r="E127" i="18"/>
  <c r="F127" i="18" s="1"/>
  <c r="E60" i="18"/>
  <c r="F60" i="18" s="1"/>
  <c r="E9" i="18"/>
  <c r="F9" i="18" s="1"/>
  <c r="F26" i="9"/>
  <c r="G26" i="9" s="1"/>
  <c r="E105" i="14"/>
  <c r="F105" i="14" s="1"/>
  <c r="F26" i="15"/>
  <c r="G26" i="15" s="1"/>
  <c r="E105" i="10"/>
  <c r="F105" i="10" s="1"/>
  <c r="E84" i="12"/>
  <c r="F84" i="12" s="1"/>
  <c r="E36" i="14"/>
  <c r="F36" i="14" s="1"/>
  <c r="F26" i="17"/>
  <c r="G26" i="17" s="1"/>
  <c r="F52" i="9"/>
  <c r="G52" i="9" s="1"/>
  <c r="F52" i="19"/>
  <c r="G52" i="19" s="1"/>
  <c r="F52" i="11"/>
  <c r="G52" i="11" s="1"/>
  <c r="F52" i="13"/>
  <c r="G52" i="13" s="1"/>
  <c r="F52" i="15"/>
  <c r="G52" i="15" s="1"/>
  <c r="F52" i="4"/>
  <c r="G52" i="4" s="1"/>
  <c r="F52" i="17"/>
  <c r="G52" i="17" s="1"/>
  <c r="G22" i="5"/>
  <c r="G27" i="5"/>
  <c r="G40" i="5"/>
  <c r="J5" i="6"/>
  <c r="J9" i="6"/>
  <c r="H17" i="6"/>
  <c r="J17" i="6" s="1"/>
  <c r="E16" i="8"/>
  <c r="F16" i="8" s="1"/>
  <c r="E16" i="18"/>
  <c r="F16" i="18" s="1"/>
  <c r="E16" i="12"/>
  <c r="F16" i="12" s="1"/>
  <c r="E16" i="20"/>
  <c r="F16" i="20" s="1"/>
  <c r="E16" i="14"/>
  <c r="F16" i="14" s="1"/>
  <c r="E16" i="10"/>
  <c r="F16" i="10" s="1"/>
  <c r="E16" i="16"/>
  <c r="F16" i="16" s="1"/>
  <c r="E103" i="12"/>
  <c r="F103" i="12" s="1"/>
  <c r="E103" i="20"/>
  <c r="F103" i="20" s="1"/>
  <c r="E82" i="8"/>
  <c r="E82" i="18"/>
  <c r="F82" i="18" s="1"/>
  <c r="E103" i="14"/>
  <c r="F103" i="14" s="1"/>
  <c r="E103" i="10"/>
  <c r="F103" i="10" s="1"/>
  <c r="E82" i="12"/>
  <c r="F82" i="12" s="1"/>
  <c r="E82" i="20"/>
  <c r="F82" i="20" s="1"/>
  <c r="E103" i="16"/>
  <c r="F103" i="16" s="1"/>
  <c r="E82" i="14"/>
  <c r="F82" i="14" s="1"/>
  <c r="E82" i="10"/>
  <c r="F82" i="10" s="1"/>
  <c r="F14" i="11"/>
  <c r="G14" i="11" s="1"/>
  <c r="F14" i="13"/>
  <c r="G14" i="13" s="1"/>
  <c r="E103" i="8"/>
  <c r="F14" i="15"/>
  <c r="G14" i="15" s="1"/>
  <c r="E7" i="8"/>
  <c r="E103" i="18"/>
  <c r="F103" i="18" s="1"/>
  <c r="F14" i="4"/>
  <c r="G14" i="4" s="1"/>
  <c r="F14" i="17"/>
  <c r="G14" i="17" s="1"/>
  <c r="E7" i="10"/>
  <c r="F7" i="10" s="1"/>
  <c r="F14" i="9"/>
  <c r="G14" i="9" s="1"/>
  <c r="F14" i="19"/>
  <c r="G14" i="19" s="1"/>
  <c r="E82" i="16"/>
  <c r="F82" i="16" s="1"/>
  <c r="F27" i="9"/>
  <c r="G27" i="9" s="1"/>
  <c r="F27" i="19"/>
  <c r="G27" i="19" s="1"/>
  <c r="F27" i="11"/>
  <c r="G27" i="11" s="1"/>
  <c r="F27" i="13"/>
  <c r="G27" i="13" s="1"/>
  <c r="F27" i="15"/>
  <c r="G27" i="15" s="1"/>
  <c r="F27" i="4"/>
  <c r="G27" i="4" s="1"/>
  <c r="F27" i="17"/>
  <c r="G27" i="17" s="1"/>
  <c r="G37" i="4"/>
  <c r="G13" i="5"/>
  <c r="G49" i="5"/>
  <c r="G46" i="5"/>
  <c r="AQ25" i="6"/>
  <c r="J8" i="6"/>
  <c r="AL17" i="6"/>
  <c r="AN17" i="6" s="1"/>
  <c r="AN25" i="6" s="1"/>
  <c r="E19" i="12"/>
  <c r="F19" i="12" s="1"/>
  <c r="E19" i="20"/>
  <c r="F19" i="20" s="1"/>
  <c r="E19" i="14"/>
  <c r="F19" i="14" s="1"/>
  <c r="E19" i="10"/>
  <c r="F19" i="10" s="1"/>
  <c r="E19" i="16"/>
  <c r="F19" i="16" s="1"/>
  <c r="E19" i="8"/>
  <c r="F19" i="8" s="1"/>
  <c r="E19" i="18"/>
  <c r="F19" i="18" s="1"/>
  <c r="E58" i="16"/>
  <c r="F58" i="16" s="1"/>
  <c r="E34" i="12"/>
  <c r="F34" i="12" s="1"/>
  <c r="E34" i="20"/>
  <c r="F34" i="20" s="1"/>
  <c r="E58" i="8"/>
  <c r="E58" i="18"/>
  <c r="F58" i="18" s="1"/>
  <c r="E34" i="14"/>
  <c r="F34" i="14" s="1"/>
  <c r="E34" i="10"/>
  <c r="F34" i="10" s="1"/>
  <c r="E58" i="12"/>
  <c r="F58" i="12" s="1"/>
  <c r="E58" i="20"/>
  <c r="F58" i="20" s="1"/>
  <c r="E34" i="16"/>
  <c r="F34" i="16" s="1"/>
  <c r="E58" i="14"/>
  <c r="F58" i="14" s="1"/>
  <c r="F15" i="9"/>
  <c r="G15" i="9" s="1"/>
  <c r="F15" i="19"/>
  <c r="G15" i="19" s="1"/>
  <c r="E58" i="10"/>
  <c r="F58" i="10" s="1"/>
  <c r="F15" i="11"/>
  <c r="G15" i="11" s="1"/>
  <c r="F15" i="13"/>
  <c r="G15" i="13" s="1"/>
  <c r="E34" i="8"/>
  <c r="F15" i="15"/>
  <c r="G15" i="15" s="1"/>
  <c r="F15" i="4"/>
  <c r="G15" i="4" s="1"/>
  <c r="E34" i="18"/>
  <c r="F34" i="18" s="1"/>
  <c r="F15" i="17"/>
  <c r="G15" i="17" s="1"/>
  <c r="F20" i="11"/>
  <c r="G20" i="11" s="1"/>
  <c r="F20" i="13"/>
  <c r="G20" i="13" s="1"/>
  <c r="F20" i="15"/>
  <c r="G20" i="15" s="1"/>
  <c r="F20" i="4"/>
  <c r="G20" i="4" s="1"/>
  <c r="F20" i="17"/>
  <c r="G20" i="17" s="1"/>
  <c r="F20" i="9"/>
  <c r="G20" i="9" s="1"/>
  <c r="F20" i="19"/>
  <c r="G20" i="19" s="1"/>
  <c r="G38" i="4"/>
  <c r="M25" i="6"/>
  <c r="Z25" i="6"/>
  <c r="J7" i="6"/>
  <c r="J11" i="6"/>
  <c r="J15" i="6"/>
  <c r="AA17" i="6"/>
  <c r="AD17" i="6" s="1"/>
  <c r="AD25" i="6" s="1"/>
  <c r="E17" i="16"/>
  <c r="F17" i="16" s="1"/>
  <c r="E17" i="8"/>
  <c r="F17" i="8" s="1"/>
  <c r="E17" i="18"/>
  <c r="F17" i="18" s="1"/>
  <c r="E17" i="12"/>
  <c r="F17" i="12" s="1"/>
  <c r="E17" i="20"/>
  <c r="F17" i="20" s="1"/>
  <c r="E17" i="14"/>
  <c r="F17" i="14" s="1"/>
  <c r="E17" i="10"/>
  <c r="F17" i="10" s="1"/>
  <c r="E18" i="14"/>
  <c r="F18" i="14" s="1"/>
  <c r="E18" i="10"/>
  <c r="F18" i="10" s="1"/>
  <c r="E18" i="16"/>
  <c r="F18" i="16" s="1"/>
  <c r="E18" i="8"/>
  <c r="F18" i="8" s="1"/>
  <c r="E18" i="18"/>
  <c r="F18" i="18" s="1"/>
  <c r="E18" i="20"/>
  <c r="F18" i="20" s="1"/>
  <c r="E18" i="12"/>
  <c r="F18" i="12" s="1"/>
  <c r="J21" i="6"/>
  <c r="G11" i="5"/>
  <c r="F10" i="4"/>
  <c r="G10" i="4" s="1"/>
  <c r="G9" i="4" s="1"/>
  <c r="E30" i="4" s="1"/>
  <c r="G30" i="4" s="1"/>
  <c r="F10" i="17"/>
  <c r="G10" i="17" s="1"/>
  <c r="G9" i="17" s="1"/>
  <c r="E30" i="17" s="1"/>
  <c r="G30" i="17" s="1"/>
  <c r="F10" i="9"/>
  <c r="G10" i="9" s="1"/>
  <c r="G9" i="9" s="1"/>
  <c r="E30" i="9" s="1"/>
  <c r="G30" i="9" s="1"/>
  <c r="F10" i="19"/>
  <c r="G10" i="19" s="1"/>
  <c r="G9" i="19" s="1"/>
  <c r="E30" i="19" s="1"/>
  <c r="G30" i="19" s="1"/>
  <c r="F10" i="11"/>
  <c r="G10" i="11" s="1"/>
  <c r="G9" i="11" s="1"/>
  <c r="E30" i="11" s="1"/>
  <c r="G30" i="11" s="1"/>
  <c r="F10" i="13"/>
  <c r="G10" i="13" s="1"/>
  <c r="G9" i="13" s="1"/>
  <c r="E30" i="13" s="1"/>
  <c r="G30" i="13" s="1"/>
  <c r="F10" i="15"/>
  <c r="G10" i="15" s="1"/>
  <c r="G9" i="15" s="1"/>
  <c r="E30" i="15" s="1"/>
  <c r="G30" i="15" s="1"/>
  <c r="G16" i="5"/>
  <c r="E125" i="16"/>
  <c r="F125" i="16" s="1"/>
  <c r="E83" i="16"/>
  <c r="F83" i="16" s="1"/>
  <c r="E8" i="14"/>
  <c r="E8" i="10"/>
  <c r="F8" i="10" s="1"/>
  <c r="E125" i="18"/>
  <c r="F125" i="18" s="1"/>
  <c r="E83" i="8"/>
  <c r="E83" i="18"/>
  <c r="F83" i="18" s="1"/>
  <c r="E8" i="16"/>
  <c r="F8" i="16" s="1"/>
  <c r="E125" i="20"/>
  <c r="F125" i="20" s="1"/>
  <c r="E83" i="12"/>
  <c r="F83" i="12" s="1"/>
  <c r="E83" i="20"/>
  <c r="F83" i="20" s="1"/>
  <c r="E8" i="8"/>
  <c r="E8" i="18"/>
  <c r="F8" i="18" s="1"/>
  <c r="E125" i="14"/>
  <c r="F125" i="14" s="1"/>
  <c r="F17" i="15"/>
  <c r="G17" i="15" s="1"/>
  <c r="F16" i="4"/>
  <c r="G16" i="4" s="1"/>
  <c r="F16" i="17"/>
  <c r="G16" i="17" s="1"/>
  <c r="E125" i="10"/>
  <c r="F125" i="10" s="1"/>
  <c r="E83" i="14"/>
  <c r="F83" i="14" s="1"/>
  <c r="F17" i="4"/>
  <c r="G17" i="4" s="1"/>
  <c r="F17" i="17"/>
  <c r="G17" i="17" s="1"/>
  <c r="F16" i="9"/>
  <c r="G16" i="9" s="1"/>
  <c r="F16" i="19"/>
  <c r="G16" i="19" s="1"/>
  <c r="E83" i="10"/>
  <c r="F83" i="10" s="1"/>
  <c r="E8" i="12"/>
  <c r="F17" i="9"/>
  <c r="G17" i="9" s="1"/>
  <c r="F17" i="19"/>
  <c r="G17" i="19" s="1"/>
  <c r="F16" i="11"/>
  <c r="G16" i="11" s="1"/>
  <c r="F16" i="13"/>
  <c r="G16" i="13" s="1"/>
  <c r="F17" i="13"/>
  <c r="G17" i="13" s="1"/>
  <c r="E8" i="20"/>
  <c r="F8" i="20" s="1"/>
  <c r="F16" i="15"/>
  <c r="G16" i="15" s="1"/>
  <c r="F17" i="11"/>
  <c r="G17" i="11" s="1"/>
  <c r="F21" i="9"/>
  <c r="G21" i="9" s="1"/>
  <c r="F21" i="19"/>
  <c r="G21" i="19" s="1"/>
  <c r="F21" i="11"/>
  <c r="G21" i="11" s="1"/>
  <c r="F21" i="13"/>
  <c r="G21" i="13" s="1"/>
  <c r="F21" i="15"/>
  <c r="G21" i="15" s="1"/>
  <c r="F21" i="17"/>
  <c r="G21" i="17" s="1"/>
  <c r="F21" i="4"/>
  <c r="G21" i="4" s="1"/>
  <c r="F25" i="15"/>
  <c r="G25" i="15" s="1"/>
  <c r="F25" i="4"/>
  <c r="G25" i="4" s="1"/>
  <c r="F25" i="17"/>
  <c r="G25" i="17" s="1"/>
  <c r="F25" i="9"/>
  <c r="G25" i="9" s="1"/>
  <c r="F25" i="19"/>
  <c r="G25" i="19" s="1"/>
  <c r="F25" i="11"/>
  <c r="G25" i="11" s="1"/>
  <c r="F25" i="13"/>
  <c r="G25" i="13" s="1"/>
  <c r="F51" i="11"/>
  <c r="G51" i="11" s="1"/>
  <c r="F51" i="13"/>
  <c r="G51" i="13" s="1"/>
  <c r="F51" i="15"/>
  <c r="G51" i="15" s="1"/>
  <c r="F51" i="4"/>
  <c r="G51" i="4" s="1"/>
  <c r="F51" i="17"/>
  <c r="G51" i="17" s="1"/>
  <c r="F51" i="9"/>
  <c r="G51" i="9" s="1"/>
  <c r="F51" i="19"/>
  <c r="G51" i="19" s="1"/>
  <c r="D83" i="8"/>
  <c r="D104" i="8"/>
  <c r="D58" i="8"/>
  <c r="D35" i="8"/>
  <c r="D36" i="8"/>
  <c r="D59" i="8"/>
  <c r="D82" i="8"/>
  <c r="D34" i="8"/>
  <c r="D103" i="8"/>
  <c r="D74" i="16"/>
  <c r="F71" i="15" s="1"/>
  <c r="G71" i="15" s="1"/>
  <c r="D105" i="8"/>
  <c r="D84" i="8"/>
  <c r="D60" i="8"/>
  <c r="D95" i="16"/>
  <c r="F72" i="15" s="1"/>
  <c r="G72" i="15" s="1"/>
  <c r="D116" i="16"/>
  <c r="F73" i="15" s="1"/>
  <c r="G73" i="15" s="1"/>
  <c r="F7" i="20"/>
  <c r="D26" i="20"/>
  <c r="D95" i="14"/>
  <c r="D74" i="18"/>
  <c r="F7" i="16"/>
  <c r="D26" i="16"/>
  <c r="D50" i="16"/>
  <c r="D74" i="14"/>
  <c r="D74" i="12"/>
  <c r="D116" i="20"/>
  <c r="D50" i="20"/>
  <c r="F7" i="18"/>
  <c r="D26" i="18"/>
  <c r="D116" i="18"/>
  <c r="D50" i="14"/>
  <c r="D116" i="14"/>
  <c r="D116" i="12"/>
  <c r="D50" i="12"/>
  <c r="D50" i="18"/>
  <c r="D95" i="18"/>
  <c r="D74" i="20"/>
  <c r="D95" i="20"/>
  <c r="D95" i="12"/>
  <c r="D50" i="10"/>
  <c r="F70" i="9" s="1"/>
  <c r="G70" i="9" s="1"/>
  <c r="D74" i="10"/>
  <c r="D116" i="10"/>
  <c r="D95" i="10"/>
  <c r="D26" i="10"/>
  <c r="G54" i="4"/>
  <c r="G41" i="4"/>
  <c r="G40" i="4" s="1"/>
  <c r="S25" i="6"/>
  <c r="V25" i="6"/>
  <c r="AU5" i="6"/>
  <c r="E17" i="6"/>
  <c r="G17" i="6" s="1"/>
  <c r="G25" i="6" s="1"/>
  <c r="AH25" i="6"/>
  <c r="AT5" i="6"/>
  <c r="G25" i="3"/>
  <c r="G32" i="5" l="1"/>
  <c r="G33" i="5"/>
  <c r="G56" i="5"/>
  <c r="G36" i="4"/>
  <c r="G34" i="5"/>
  <c r="F8" i="14"/>
  <c r="G50" i="13"/>
  <c r="D26" i="14"/>
  <c r="F69" i="13" s="1"/>
  <c r="G69" i="13" s="1"/>
  <c r="D26" i="12"/>
  <c r="F69" i="11" s="1"/>
  <c r="G69" i="11" s="1"/>
  <c r="F8" i="12"/>
  <c r="F9" i="12"/>
  <c r="F9" i="14"/>
  <c r="G50" i="4"/>
  <c r="F103" i="8"/>
  <c r="G50" i="17"/>
  <c r="G50" i="11"/>
  <c r="F35" i="8"/>
  <c r="G50" i="15"/>
  <c r="G19" i="4"/>
  <c r="G50" i="19"/>
  <c r="F34" i="8"/>
  <c r="G24" i="9"/>
  <c r="J25" i="6"/>
  <c r="F7" i="8"/>
  <c r="F9" i="8"/>
  <c r="F123" i="10"/>
  <c r="D131" i="10" s="1"/>
  <c r="F131" i="10" s="1"/>
  <c r="G24" i="15"/>
  <c r="F59" i="8"/>
  <c r="F123" i="20"/>
  <c r="D130" i="20" s="1"/>
  <c r="F130" i="20" s="1"/>
  <c r="G24" i="13"/>
  <c r="G24" i="17"/>
  <c r="F124" i="8"/>
  <c r="D138" i="8"/>
  <c r="F74" i="4" s="1"/>
  <c r="G74" i="4" s="1"/>
  <c r="F123" i="18"/>
  <c r="D131" i="18" s="1"/>
  <c r="F131" i="18" s="1"/>
  <c r="D74" i="8"/>
  <c r="F71" i="4" s="1"/>
  <c r="G71" i="4" s="1"/>
  <c r="F123" i="16"/>
  <c r="D130" i="16" s="1"/>
  <c r="F130" i="16" s="1"/>
  <c r="F123" i="14"/>
  <c r="D130" i="14" s="1"/>
  <c r="F130" i="14" s="1"/>
  <c r="F104" i="8"/>
  <c r="F105" i="8"/>
  <c r="F127" i="8"/>
  <c r="F60" i="8"/>
  <c r="G24" i="4"/>
  <c r="F81" i="20"/>
  <c r="D88" i="20" s="1"/>
  <c r="F88" i="20" s="1"/>
  <c r="F33" i="20"/>
  <c r="D40" i="20" s="1"/>
  <c r="F40" i="20" s="1"/>
  <c r="F57" i="20"/>
  <c r="D63" i="20" s="1"/>
  <c r="F63" i="20" s="1"/>
  <c r="F102" i="20"/>
  <c r="D108" i="20" s="1"/>
  <c r="F108" i="20" s="1"/>
  <c r="G24" i="19"/>
  <c r="F102" i="18"/>
  <c r="D108" i="18" s="1"/>
  <c r="F108" i="18" s="1"/>
  <c r="F33" i="18"/>
  <c r="D40" i="18" s="1"/>
  <c r="F40" i="18" s="1"/>
  <c r="F15" i="16"/>
  <c r="F57" i="14"/>
  <c r="D64" i="14" s="1"/>
  <c r="F64" i="14" s="1"/>
  <c r="F33" i="14"/>
  <c r="D40" i="14" s="1"/>
  <c r="F40" i="14" s="1"/>
  <c r="F33" i="12"/>
  <c r="D39" i="12" s="1"/>
  <c r="F39" i="12" s="1"/>
  <c r="G24" i="11"/>
  <c r="F84" i="8"/>
  <c r="F36" i="8"/>
  <c r="F126" i="8"/>
  <c r="F58" i="8"/>
  <c r="F57" i="10"/>
  <c r="D64" i="10" s="1"/>
  <c r="F64" i="10" s="1"/>
  <c r="G50" i="9"/>
  <c r="D26" i="8"/>
  <c r="F69" i="4" s="1"/>
  <c r="G69" i="4" s="1"/>
  <c r="D116" i="8"/>
  <c r="F73" i="4" s="1"/>
  <c r="G73" i="4" s="1"/>
  <c r="F83" i="8"/>
  <c r="F8" i="8"/>
  <c r="F15" i="18"/>
  <c r="F15" i="12"/>
  <c r="F15" i="8"/>
  <c r="F102" i="14"/>
  <c r="D108" i="14" s="1"/>
  <c r="F108" i="14" s="1"/>
  <c r="F57" i="12"/>
  <c r="D64" i="12" s="1"/>
  <c r="F64" i="12" s="1"/>
  <c r="F33" i="16"/>
  <c r="D39" i="16" s="1"/>
  <c r="F39" i="16" s="1"/>
  <c r="F57" i="16"/>
  <c r="D63" i="16" s="1"/>
  <c r="F63" i="16" s="1"/>
  <c r="F33" i="10"/>
  <c r="D40" i="10" s="1"/>
  <c r="F40" i="10" s="1"/>
  <c r="G12" i="4"/>
  <c r="D50" i="8"/>
  <c r="F70" i="4" s="1"/>
  <c r="G70" i="4" s="1"/>
  <c r="F102" i="12"/>
  <c r="D109" i="12" s="1"/>
  <c r="F109" i="12" s="1"/>
  <c r="D95" i="8"/>
  <c r="F72" i="4" s="1"/>
  <c r="G72" i="4" s="1"/>
  <c r="F57" i="18"/>
  <c r="D63" i="18" s="1"/>
  <c r="F63" i="18" s="1"/>
  <c r="F102" i="16"/>
  <c r="D108" i="16" s="1"/>
  <c r="F108" i="16" s="1"/>
  <c r="F82" i="8"/>
  <c r="F125" i="8"/>
  <c r="F102" i="10"/>
  <c r="D109" i="10" s="1"/>
  <c r="F109" i="10" s="1"/>
  <c r="F123" i="12"/>
  <c r="D131" i="12" s="1"/>
  <c r="F131" i="12" s="1"/>
  <c r="F81" i="16"/>
  <c r="D88" i="16" s="1"/>
  <c r="F88" i="16" s="1"/>
  <c r="F6" i="20"/>
  <c r="D12" i="20" s="1"/>
  <c r="F12" i="20" s="1"/>
  <c r="G12" i="9"/>
  <c r="F81" i="18"/>
  <c r="D88" i="18" s="1"/>
  <c r="F88" i="18" s="1"/>
  <c r="F6" i="16"/>
  <c r="D12" i="16" s="1"/>
  <c r="F12" i="16" s="1"/>
  <c r="F81" i="14"/>
  <c r="D88" i="14" s="1"/>
  <c r="F88" i="14" s="1"/>
  <c r="F15" i="20"/>
  <c r="G19" i="19"/>
  <c r="G19" i="15"/>
  <c r="G12" i="13"/>
  <c r="G12" i="17"/>
  <c r="F81" i="10"/>
  <c r="D87" i="10" s="1"/>
  <c r="F87" i="10" s="1"/>
  <c r="F81" i="12"/>
  <c r="D87" i="12" s="1"/>
  <c r="F87" i="12" s="1"/>
  <c r="F15" i="14"/>
  <c r="G19" i="9"/>
  <c r="G19" i="13"/>
  <c r="G12" i="11"/>
  <c r="F6" i="10"/>
  <c r="D12" i="10" s="1"/>
  <c r="F12" i="10" s="1"/>
  <c r="F6" i="18"/>
  <c r="D12" i="18" s="1"/>
  <c r="F12" i="18" s="1"/>
  <c r="G19" i="17"/>
  <c r="G19" i="11"/>
  <c r="F15" i="10"/>
  <c r="G12" i="19"/>
  <c r="G12" i="15"/>
  <c r="F74" i="17"/>
  <c r="G74" i="17" s="1"/>
  <c r="F72" i="19"/>
  <c r="G72" i="19" s="1"/>
  <c r="F74" i="15"/>
  <c r="G74" i="15" s="1"/>
  <c r="F69" i="15"/>
  <c r="G69" i="15" s="1"/>
  <c r="F74" i="19"/>
  <c r="G74" i="19" s="1"/>
  <c r="F72" i="11"/>
  <c r="G72" i="11" s="1"/>
  <c r="F73" i="11"/>
  <c r="G73" i="11" s="1"/>
  <c r="F70" i="13"/>
  <c r="G70" i="13" s="1"/>
  <c r="F71" i="11"/>
  <c r="G71" i="11" s="1"/>
  <c r="F70" i="15"/>
  <c r="G70" i="15" s="1"/>
  <c r="F74" i="11"/>
  <c r="G74" i="11" s="1"/>
  <c r="F70" i="17"/>
  <c r="G70" i="17" s="1"/>
  <c r="F73" i="13"/>
  <c r="G73" i="13" s="1"/>
  <c r="F73" i="17"/>
  <c r="G73" i="17" s="1"/>
  <c r="F71" i="17"/>
  <c r="G71" i="17" s="1"/>
  <c r="F69" i="19"/>
  <c r="G69" i="19" s="1"/>
  <c r="F72" i="17"/>
  <c r="G72" i="17" s="1"/>
  <c r="F74" i="13"/>
  <c r="G74" i="13" s="1"/>
  <c r="F73" i="19"/>
  <c r="G73" i="19" s="1"/>
  <c r="F71" i="19"/>
  <c r="G71" i="19" s="1"/>
  <c r="F70" i="11"/>
  <c r="G70" i="11" s="1"/>
  <c r="F69" i="17"/>
  <c r="G69" i="17" s="1"/>
  <c r="F70" i="19"/>
  <c r="G70" i="19" s="1"/>
  <c r="F71" i="13"/>
  <c r="G71" i="13" s="1"/>
  <c r="F72" i="13"/>
  <c r="G72" i="13" s="1"/>
  <c r="F69" i="9"/>
  <c r="G69" i="9" s="1"/>
  <c r="F72" i="9"/>
  <c r="G72" i="9" s="1"/>
  <c r="F73" i="9"/>
  <c r="G73" i="9" s="1"/>
  <c r="F71" i="9"/>
  <c r="G71" i="9" s="1"/>
  <c r="F74" i="9"/>
  <c r="G74" i="9" s="1"/>
  <c r="G35" i="5"/>
  <c r="G58" i="5" l="1"/>
  <c r="G61" i="5" s="1"/>
  <c r="G63" i="5" s="1"/>
  <c r="F6" i="14"/>
  <c r="D12" i="14" s="1"/>
  <c r="F12" i="14" s="1"/>
  <c r="F6" i="12"/>
  <c r="D12" i="12" s="1"/>
  <c r="F12" i="12" s="1"/>
  <c r="F33" i="8"/>
  <c r="D40" i="8" s="1"/>
  <c r="F40" i="8" s="1"/>
  <c r="D13" i="20"/>
  <c r="F13" i="20" s="1"/>
  <c r="F11" i="20" s="1"/>
  <c r="D22" i="20" s="1"/>
  <c r="D63" i="12"/>
  <c r="F63" i="12" s="1"/>
  <c r="F62" i="12" s="1"/>
  <c r="D70" i="12" s="1"/>
  <c r="D64" i="20"/>
  <c r="F64" i="20" s="1"/>
  <c r="F62" i="20" s="1"/>
  <c r="D70" i="20" s="1"/>
  <c r="F70" i="20" s="1"/>
  <c r="D87" i="18"/>
  <c r="F87" i="18" s="1"/>
  <c r="F86" i="18" s="1"/>
  <c r="D91" i="18" s="1"/>
  <c r="F91" i="18" s="1"/>
  <c r="D87" i="20"/>
  <c r="F87" i="20" s="1"/>
  <c r="F86" i="20" s="1"/>
  <c r="D91" i="20" s="1"/>
  <c r="F6" i="8"/>
  <c r="D13" i="8" s="1"/>
  <c r="F13" i="8" s="1"/>
  <c r="D39" i="18"/>
  <c r="F39" i="18" s="1"/>
  <c r="F38" i="18" s="1"/>
  <c r="D46" i="18" s="1"/>
  <c r="D63" i="10"/>
  <c r="F63" i="10" s="1"/>
  <c r="F62" i="10" s="1"/>
  <c r="D70" i="10" s="1"/>
  <c r="F70" i="10" s="1"/>
  <c r="D71" i="10" s="1"/>
  <c r="F71" i="10" s="1"/>
  <c r="D109" i="14"/>
  <c r="F109" i="14" s="1"/>
  <c r="F107" i="14" s="1"/>
  <c r="D112" i="14" s="1"/>
  <c r="F112" i="14" s="1"/>
  <c r="G76" i="4"/>
  <c r="G80" i="4" s="1"/>
  <c r="D131" i="16"/>
  <c r="F131" i="16" s="1"/>
  <c r="F129" i="16" s="1"/>
  <c r="D134" i="16" s="1"/>
  <c r="F134" i="16" s="1"/>
  <c r="D135" i="16" s="1"/>
  <c r="F135" i="16" s="1"/>
  <c r="D131" i="20"/>
  <c r="F131" i="20" s="1"/>
  <c r="F129" i="20" s="1"/>
  <c r="D134" i="20" s="1"/>
  <c r="F134" i="20" s="1"/>
  <c r="F57" i="8"/>
  <c r="D64" i="8" s="1"/>
  <c r="F64" i="8" s="1"/>
  <c r="D109" i="18"/>
  <c r="F109" i="18" s="1"/>
  <c r="F107" i="18" s="1"/>
  <c r="D112" i="18" s="1"/>
  <c r="F112" i="18" s="1"/>
  <c r="D109" i="20"/>
  <c r="F109" i="20" s="1"/>
  <c r="F107" i="20" s="1"/>
  <c r="D112" i="20" s="1"/>
  <c r="D39" i="20"/>
  <c r="F39" i="20" s="1"/>
  <c r="F38" i="20" s="1"/>
  <c r="D46" i="20" s="1"/>
  <c r="E34" i="9"/>
  <c r="G34" i="9" s="1"/>
  <c r="G33" i="9" s="1"/>
  <c r="F102" i="8"/>
  <c r="D108" i="8" s="1"/>
  <c r="F108" i="8" s="1"/>
  <c r="D63" i="14"/>
  <c r="F63" i="14" s="1"/>
  <c r="F62" i="14" s="1"/>
  <c r="D70" i="14" s="1"/>
  <c r="F70" i="14" s="1"/>
  <c r="D71" i="14" s="1"/>
  <c r="F71" i="14" s="1"/>
  <c r="F123" i="8"/>
  <c r="D131" i="8" s="1"/>
  <c r="F131" i="8" s="1"/>
  <c r="D130" i="18"/>
  <c r="F130" i="18" s="1"/>
  <c r="F129" i="18" s="1"/>
  <c r="D134" i="18" s="1"/>
  <c r="F134" i="18" s="1"/>
  <c r="D109" i="16"/>
  <c r="F109" i="16" s="1"/>
  <c r="F107" i="16" s="1"/>
  <c r="D112" i="16" s="1"/>
  <c r="F112" i="16" s="1"/>
  <c r="D39" i="14"/>
  <c r="F39" i="14" s="1"/>
  <c r="F38" i="14" s="1"/>
  <c r="D46" i="14" s="1"/>
  <c r="F46" i="14" s="1"/>
  <c r="D130" i="10"/>
  <c r="F130" i="10" s="1"/>
  <c r="F129" i="10" s="1"/>
  <c r="D134" i="10" s="1"/>
  <c r="F134" i="10" s="1"/>
  <c r="D135" i="10" s="1"/>
  <c r="F135" i="10" s="1"/>
  <c r="D88" i="10"/>
  <c r="F88" i="10" s="1"/>
  <c r="F86" i="10" s="1"/>
  <c r="D91" i="10" s="1"/>
  <c r="E34" i="17"/>
  <c r="G34" i="17" s="1"/>
  <c r="G33" i="17" s="1"/>
  <c r="E34" i="13"/>
  <c r="G34" i="13" s="1"/>
  <c r="G33" i="13" s="1"/>
  <c r="E34" i="4"/>
  <c r="G34" i="4" s="1"/>
  <c r="G33" i="4" s="1"/>
  <c r="D108" i="12"/>
  <c r="F108" i="12" s="1"/>
  <c r="F107" i="12" s="1"/>
  <c r="D112" i="12" s="1"/>
  <c r="E31" i="4"/>
  <c r="G31" i="4" s="1"/>
  <c r="G29" i="4" s="1"/>
  <c r="E31" i="15"/>
  <c r="G31" i="15" s="1"/>
  <c r="G29" i="15" s="1"/>
  <c r="D64" i="18"/>
  <c r="F64" i="18" s="1"/>
  <c r="F62" i="18" s="1"/>
  <c r="D70" i="18" s="1"/>
  <c r="D87" i="16"/>
  <c r="F87" i="16" s="1"/>
  <c r="F86" i="16" s="1"/>
  <c r="D91" i="16" s="1"/>
  <c r="F91" i="16" s="1"/>
  <c r="D40" i="16"/>
  <c r="F40" i="16" s="1"/>
  <c r="F38" i="16" s="1"/>
  <c r="D46" i="16" s="1"/>
  <c r="F46" i="16" s="1"/>
  <c r="E34" i="15"/>
  <c r="G34" i="15" s="1"/>
  <c r="G33" i="15" s="1"/>
  <c r="D40" i="12"/>
  <c r="F40" i="12" s="1"/>
  <c r="F38" i="12" s="1"/>
  <c r="D46" i="12" s="1"/>
  <c r="F46" i="12" s="1"/>
  <c r="D47" i="12" s="1"/>
  <c r="F47" i="12" s="1"/>
  <c r="E34" i="11"/>
  <c r="G34" i="11" s="1"/>
  <c r="G33" i="11" s="1"/>
  <c r="D13" i="10"/>
  <c r="F13" i="10" s="1"/>
  <c r="F11" i="10" s="1"/>
  <c r="D22" i="10" s="1"/>
  <c r="D39" i="10"/>
  <c r="F39" i="10" s="1"/>
  <c r="F38" i="10" s="1"/>
  <c r="D46" i="10" s="1"/>
  <c r="F46" i="10" s="1"/>
  <c r="D47" i="10" s="1"/>
  <c r="F47" i="10" s="1"/>
  <c r="F81" i="8"/>
  <c r="D108" i="10"/>
  <c r="F108" i="10" s="1"/>
  <c r="F107" i="10" s="1"/>
  <c r="D112" i="10" s="1"/>
  <c r="D13" i="16"/>
  <c r="F13" i="16" s="1"/>
  <c r="F11" i="16" s="1"/>
  <c r="D22" i="16" s="1"/>
  <c r="D131" i="14"/>
  <c r="F131" i="14" s="1"/>
  <c r="F129" i="14" s="1"/>
  <c r="D134" i="14" s="1"/>
  <c r="F134" i="14" s="1"/>
  <c r="D64" i="16"/>
  <c r="F64" i="16" s="1"/>
  <c r="F62" i="16" s="1"/>
  <c r="D70" i="16" s="1"/>
  <c r="F70" i="16" s="1"/>
  <c r="D71" i="16" s="1"/>
  <c r="F71" i="16" s="1"/>
  <c r="D87" i="14"/>
  <c r="F87" i="14" s="1"/>
  <c r="F86" i="14" s="1"/>
  <c r="D91" i="14" s="1"/>
  <c r="D13" i="18"/>
  <c r="F13" i="18" s="1"/>
  <c r="F11" i="18" s="1"/>
  <c r="D22" i="18" s="1"/>
  <c r="D88" i="12"/>
  <c r="F88" i="12" s="1"/>
  <c r="F86" i="12" s="1"/>
  <c r="D91" i="12" s="1"/>
  <c r="D130" i="12"/>
  <c r="F130" i="12" s="1"/>
  <c r="F129" i="12" s="1"/>
  <c r="D134" i="12" s="1"/>
  <c r="F134" i="12" s="1"/>
  <c r="D135" i="12" s="1"/>
  <c r="F135" i="12" s="1"/>
  <c r="E31" i="11"/>
  <c r="G31" i="11" s="1"/>
  <c r="G29" i="11" s="1"/>
  <c r="E31" i="19"/>
  <c r="G31" i="19" s="1"/>
  <c r="G29" i="19" s="1"/>
  <c r="E31" i="17"/>
  <c r="G31" i="17" s="1"/>
  <c r="G29" i="17" s="1"/>
  <c r="E34" i="19"/>
  <c r="G34" i="19" s="1"/>
  <c r="G33" i="19" s="1"/>
  <c r="E31" i="13"/>
  <c r="G31" i="13" s="1"/>
  <c r="G29" i="13" s="1"/>
  <c r="E31" i="9"/>
  <c r="G31" i="9" s="1"/>
  <c r="G29" i="9" s="1"/>
  <c r="G76" i="15"/>
  <c r="G80" i="15" s="1"/>
  <c r="G76" i="17"/>
  <c r="G80" i="17" s="1"/>
  <c r="G76" i="19"/>
  <c r="G80" i="19" s="1"/>
  <c r="G76" i="11"/>
  <c r="G80" i="11" s="1"/>
  <c r="G76" i="13"/>
  <c r="G80" i="13" s="1"/>
  <c r="G76" i="9"/>
  <c r="G80" i="9" s="1"/>
  <c r="D13" i="12" l="1"/>
  <c r="F13" i="12" s="1"/>
  <c r="F11" i="12" s="1"/>
  <c r="D22" i="12" s="1"/>
  <c r="F22" i="12" s="1"/>
  <c r="D23" i="12" s="1"/>
  <c r="D13" i="14"/>
  <c r="F13" i="14" s="1"/>
  <c r="F11" i="14" s="1"/>
  <c r="D22" i="14" s="1"/>
  <c r="F22" i="14" s="1"/>
  <c r="D39" i="8"/>
  <c r="F39" i="8" s="1"/>
  <c r="F38" i="8" s="1"/>
  <c r="D46" i="8" s="1"/>
  <c r="F46" i="8" s="1"/>
  <c r="E59" i="13"/>
  <c r="G59" i="13" s="1"/>
  <c r="D63" i="8"/>
  <c r="F63" i="8" s="1"/>
  <c r="F62" i="8" s="1"/>
  <c r="D70" i="8" s="1"/>
  <c r="F70" i="8" s="1"/>
  <c r="D12" i="8"/>
  <c r="F12" i="8" s="1"/>
  <c r="F11" i="8" s="1"/>
  <c r="D22" i="8" s="1"/>
  <c r="F22" i="8" s="1"/>
  <c r="D23" i="8" s="1"/>
  <c r="F23" i="8" s="1"/>
  <c r="F21" i="8" s="1"/>
  <c r="F24" i="8" s="1"/>
  <c r="D109" i="8"/>
  <c r="F109" i="8" s="1"/>
  <c r="F107" i="8" s="1"/>
  <c r="D112" i="8" s="1"/>
  <c r="F112" i="8" s="1"/>
  <c r="E59" i="4"/>
  <c r="G59" i="4" s="1"/>
  <c r="E60" i="4" s="1"/>
  <c r="G60" i="4" s="1"/>
  <c r="E59" i="19"/>
  <c r="G59" i="19" s="1"/>
  <c r="D130" i="8"/>
  <c r="F130" i="8" s="1"/>
  <c r="F129" i="8" s="1"/>
  <c r="D134" i="8" s="1"/>
  <c r="F134" i="8" s="1"/>
  <c r="D135" i="8" s="1"/>
  <c r="F135" i="8" s="1"/>
  <c r="E59" i="11"/>
  <c r="G59" i="11" s="1"/>
  <c r="E60" i="11" s="1"/>
  <c r="G60" i="11" s="1"/>
  <c r="D88" i="8"/>
  <c r="F88" i="8" s="1"/>
  <c r="D87" i="8"/>
  <c r="F87" i="8" s="1"/>
  <c r="F69" i="16"/>
  <c r="F72" i="16" s="1"/>
  <c r="F22" i="20"/>
  <c r="D23" i="20" s="1"/>
  <c r="F23" i="20" s="1"/>
  <c r="F21" i="20" s="1"/>
  <c r="F24" i="20" s="1"/>
  <c r="D47" i="14"/>
  <c r="F47" i="14" s="1"/>
  <c r="F45" i="14" s="1"/>
  <c r="F48" i="14" s="1"/>
  <c r="D135" i="18"/>
  <c r="F135" i="18" s="1"/>
  <c r="F133" i="18" s="1"/>
  <c r="F136" i="18" s="1"/>
  <c r="D92" i="16"/>
  <c r="F92" i="16" s="1"/>
  <c r="F90" i="16" s="1"/>
  <c r="F93" i="16" s="1"/>
  <c r="F91" i="14"/>
  <c r="D92" i="14" s="1"/>
  <c r="F92" i="14" s="1"/>
  <c r="F91" i="20"/>
  <c r="F46" i="20"/>
  <c r="D47" i="20" s="1"/>
  <c r="F47" i="20" s="1"/>
  <c r="F112" i="12"/>
  <c r="D47" i="16"/>
  <c r="F47" i="16" s="1"/>
  <c r="F45" i="16" s="1"/>
  <c r="F48" i="16" s="1"/>
  <c r="D113" i="14"/>
  <c r="F113" i="14" s="1"/>
  <c r="F111" i="14" s="1"/>
  <c r="F114" i="14" s="1"/>
  <c r="F91" i="12"/>
  <c r="F22" i="18"/>
  <c r="F22" i="16"/>
  <c r="D23" i="16" s="1"/>
  <c r="D135" i="20"/>
  <c r="F135" i="20" s="1"/>
  <c r="F133" i="20" s="1"/>
  <c r="F136" i="20" s="1"/>
  <c r="F69" i="14"/>
  <c r="F72" i="14" s="1"/>
  <c r="F45" i="12"/>
  <c r="F48" i="12" s="1"/>
  <c r="F112" i="20"/>
  <c r="F70" i="12"/>
  <c r="F46" i="18"/>
  <c r="D47" i="18" s="1"/>
  <c r="F47" i="18" s="1"/>
  <c r="F70" i="18"/>
  <c r="F133" i="12"/>
  <c r="F136" i="12" s="1"/>
  <c r="D113" i="18"/>
  <c r="F113" i="18" s="1"/>
  <c r="F111" i="18" s="1"/>
  <c r="F114" i="18" s="1"/>
  <c r="D92" i="18"/>
  <c r="F92" i="18" s="1"/>
  <c r="F90" i="18" s="1"/>
  <c r="F93" i="18" s="1"/>
  <c r="D113" i="16"/>
  <c r="F113" i="16" s="1"/>
  <c r="F111" i="16" s="1"/>
  <c r="F114" i="16" s="1"/>
  <c r="D71" i="20"/>
  <c r="F71" i="20" s="1"/>
  <c r="F69" i="20" s="1"/>
  <c r="F72" i="20" s="1"/>
  <c r="F23" i="12"/>
  <c r="F21" i="12" s="1"/>
  <c r="F24" i="12" s="1"/>
  <c r="F133" i="16"/>
  <c r="F136" i="16" s="1"/>
  <c r="D135" i="14"/>
  <c r="F135" i="14" s="1"/>
  <c r="F133" i="14" s="1"/>
  <c r="F136" i="14" s="1"/>
  <c r="F69" i="10"/>
  <c r="F72" i="10" s="1"/>
  <c r="F133" i="10"/>
  <c r="F136" i="10" s="1"/>
  <c r="F22" i="10"/>
  <c r="D23" i="10" s="1"/>
  <c r="F91" i="10"/>
  <c r="D92" i="10" s="1"/>
  <c r="F92" i="10" s="1"/>
  <c r="F112" i="10"/>
  <c r="F45" i="10"/>
  <c r="F48" i="10" s="1"/>
  <c r="G65" i="5"/>
  <c r="G67" i="5" s="1"/>
  <c r="E60" i="19" l="1"/>
  <c r="G60" i="19" s="1"/>
  <c r="G58" i="19" s="1"/>
  <c r="G7" i="19" s="1"/>
  <c r="G62" i="19" s="1"/>
  <c r="G63" i="19" s="1"/>
  <c r="G79" i="19" s="1"/>
  <c r="G81" i="19" s="1"/>
  <c r="E74" i="20" s="1"/>
  <c r="F74" i="20" s="1"/>
  <c r="F56" i="20" s="1"/>
  <c r="E76" i="20" s="1"/>
  <c r="E60" i="13"/>
  <c r="G60" i="13" s="1"/>
  <c r="G58" i="13" s="1"/>
  <c r="G7" i="13" s="1"/>
  <c r="G62" i="13" s="1"/>
  <c r="G63" i="13" s="1"/>
  <c r="J16" i="3" s="1"/>
  <c r="K16" i="3" s="1"/>
  <c r="G58" i="4"/>
  <c r="G7" i="4" s="1"/>
  <c r="G62" i="4" s="1"/>
  <c r="G63" i="4" s="1"/>
  <c r="J5" i="3" s="1"/>
  <c r="D47" i="8"/>
  <c r="F47" i="8" s="1"/>
  <c r="F45" i="8" s="1"/>
  <c r="F48" i="8" s="1"/>
  <c r="D113" i="8"/>
  <c r="F113" i="8" s="1"/>
  <c r="F111" i="8" s="1"/>
  <c r="F114" i="8" s="1"/>
  <c r="F86" i="8"/>
  <c r="D91" i="8" s="1"/>
  <c r="F91" i="8" s="1"/>
  <c r="D92" i="8" s="1"/>
  <c r="F92" i="8" s="1"/>
  <c r="G58" i="11"/>
  <c r="G7" i="11" s="1"/>
  <c r="G62" i="11" s="1"/>
  <c r="G63" i="11" s="1"/>
  <c r="J13" i="3" s="1"/>
  <c r="K13" i="3" s="1"/>
  <c r="D23" i="18"/>
  <c r="F23" i="18" s="1"/>
  <c r="F21" i="18" s="1"/>
  <c r="F24" i="18" s="1"/>
  <c r="D23" i="14"/>
  <c r="F23" i="14" s="1"/>
  <c r="F21" i="14" s="1"/>
  <c r="F24" i="14" s="1"/>
  <c r="F90" i="14"/>
  <c r="F93" i="14" s="1"/>
  <c r="D71" i="18"/>
  <c r="F71" i="18" s="1"/>
  <c r="F69" i="18" s="1"/>
  <c r="F72" i="18" s="1"/>
  <c r="D71" i="12"/>
  <c r="F71" i="12" s="1"/>
  <c r="F69" i="12" s="1"/>
  <c r="F72" i="12" s="1"/>
  <c r="F23" i="16"/>
  <c r="F21" i="16" s="1"/>
  <c r="F24" i="16" s="1"/>
  <c r="D113" i="12"/>
  <c r="F113" i="12" s="1"/>
  <c r="F111" i="12" s="1"/>
  <c r="F114" i="12" s="1"/>
  <c r="F45" i="18"/>
  <c r="F48" i="18" s="1"/>
  <c r="D113" i="20"/>
  <c r="F113" i="20" s="1"/>
  <c r="F111" i="20" s="1"/>
  <c r="F114" i="20" s="1"/>
  <c r="D92" i="12"/>
  <c r="F92" i="12" s="1"/>
  <c r="F90" i="12" s="1"/>
  <c r="F93" i="12" s="1"/>
  <c r="F45" i="20"/>
  <c r="F48" i="20" s="1"/>
  <c r="D92" i="20"/>
  <c r="F92" i="20" s="1"/>
  <c r="F90" i="20" s="1"/>
  <c r="F93" i="20" s="1"/>
  <c r="F90" i="10"/>
  <c r="F93" i="10" s="1"/>
  <c r="F23" i="10"/>
  <c r="F21" i="10" s="1"/>
  <c r="F24" i="10" s="1"/>
  <c r="D113" i="10"/>
  <c r="F113" i="10" s="1"/>
  <c r="F111" i="10" s="1"/>
  <c r="F114" i="10" s="1"/>
  <c r="F133" i="8"/>
  <c r="F136" i="8" s="1"/>
  <c r="D71" i="8"/>
  <c r="F71" i="8" s="1"/>
  <c r="F69" i="8" s="1"/>
  <c r="F72" i="8" s="1"/>
  <c r="K5" i="3" l="1"/>
  <c r="F90" i="8"/>
  <c r="F93" i="8" s="1"/>
  <c r="G79" i="11"/>
  <c r="G81" i="11" s="1"/>
  <c r="E138" i="20"/>
  <c r="F138" i="20" s="1"/>
  <c r="F122" i="20" s="1"/>
  <c r="E140" i="20" s="1"/>
  <c r="E150" i="20" s="1"/>
  <c r="F150" i="20" s="1"/>
  <c r="E95" i="20"/>
  <c r="F95" i="20" s="1"/>
  <c r="F80" i="20" s="1"/>
  <c r="E97" i="20" s="1"/>
  <c r="E50" i="20"/>
  <c r="F50" i="20" s="1"/>
  <c r="F32" i="20" s="1"/>
  <c r="E52" i="20" s="1"/>
  <c r="E146" i="20" s="1"/>
  <c r="F146" i="20" s="1"/>
  <c r="E26" i="20"/>
  <c r="F26" i="20" s="1"/>
  <c r="F5" i="20" s="1"/>
  <c r="E28" i="20" s="1"/>
  <c r="F28" i="20" s="1"/>
  <c r="E116" i="20"/>
  <c r="F116" i="20" s="1"/>
  <c r="F101" i="20" s="1"/>
  <c r="E118" i="20" s="1"/>
  <c r="E149" i="20" s="1"/>
  <c r="F149" i="20" s="1"/>
  <c r="G79" i="13"/>
  <c r="G81" i="13" s="1"/>
  <c r="G79" i="4"/>
  <c r="G81" i="4" s="1"/>
  <c r="E147" i="20"/>
  <c r="F147" i="20" s="1"/>
  <c r="F76" i="20"/>
  <c r="D15" i="2"/>
  <c r="E55" i="9" s="1"/>
  <c r="G55" i="9" s="1"/>
  <c r="G54" i="9" s="1"/>
  <c r="E59" i="9" s="1"/>
  <c r="G59" i="9" s="1"/>
  <c r="H16" i="2"/>
  <c r="G10" i="2"/>
  <c r="E55" i="15" s="1"/>
  <c r="G55" i="15" s="1"/>
  <c r="G54" i="15" s="1"/>
  <c r="E59" i="15" s="1"/>
  <c r="G59" i="15" s="1"/>
  <c r="H17" i="2"/>
  <c r="F140" i="20" l="1"/>
  <c r="E95" i="12"/>
  <c r="F95" i="12" s="1"/>
  <c r="F80" i="12" s="1"/>
  <c r="E97" i="12" s="1"/>
  <c r="E148" i="12" s="1"/>
  <c r="F148" i="12" s="1"/>
  <c r="E138" i="12"/>
  <c r="F138" i="12" s="1"/>
  <c r="F122" i="12" s="1"/>
  <c r="E140" i="12" s="1"/>
  <c r="E150" i="12" s="1"/>
  <c r="F150" i="12" s="1"/>
  <c r="E50" i="12"/>
  <c r="F50" i="12" s="1"/>
  <c r="F32" i="12" s="1"/>
  <c r="E52" i="12" s="1"/>
  <c r="E146" i="12" s="1"/>
  <c r="F146" i="12" s="1"/>
  <c r="E74" i="12"/>
  <c r="F74" i="12" s="1"/>
  <c r="F56" i="12" s="1"/>
  <c r="E76" i="12" s="1"/>
  <c r="F76" i="12" s="1"/>
  <c r="E116" i="12"/>
  <c r="F116" i="12" s="1"/>
  <c r="F101" i="12" s="1"/>
  <c r="E118" i="12" s="1"/>
  <c r="E149" i="12" s="1"/>
  <c r="F149" i="12" s="1"/>
  <c r="E26" i="12"/>
  <c r="F26" i="12" s="1"/>
  <c r="F5" i="12" s="1"/>
  <c r="E28" i="12" s="1"/>
  <c r="E145" i="12" s="1"/>
  <c r="F145" i="12" s="1"/>
  <c r="E60" i="9"/>
  <c r="G60" i="9" s="1"/>
  <c r="G58" i="9" s="1"/>
  <c r="G7" i="9" s="1"/>
  <c r="G62" i="9" s="1"/>
  <c r="G63" i="9" s="1"/>
  <c r="J8" i="3" s="1"/>
  <c r="E60" i="15"/>
  <c r="G60" i="15" s="1"/>
  <c r="G58" i="15" s="1"/>
  <c r="G7" i="15" s="1"/>
  <c r="G62" i="15" s="1"/>
  <c r="G63" i="15" s="1"/>
  <c r="J18" i="3" s="1"/>
  <c r="K18" i="3" s="1"/>
  <c r="E55" i="17"/>
  <c r="G55" i="17" s="1"/>
  <c r="G54" i="17" s="1"/>
  <c r="E59" i="17" s="1"/>
  <c r="G59" i="17" s="1"/>
  <c r="E145" i="20"/>
  <c r="F145" i="20" s="1"/>
  <c r="E138" i="14"/>
  <c r="F138" i="14" s="1"/>
  <c r="F122" i="14" s="1"/>
  <c r="E140" i="14" s="1"/>
  <c r="E95" i="14"/>
  <c r="F95" i="14" s="1"/>
  <c r="F80" i="14" s="1"/>
  <c r="E97" i="14" s="1"/>
  <c r="E50" i="14"/>
  <c r="F50" i="14" s="1"/>
  <c r="F32" i="14" s="1"/>
  <c r="E52" i="14" s="1"/>
  <c r="E74" i="14"/>
  <c r="F74" i="14" s="1"/>
  <c r="F56" i="14" s="1"/>
  <c r="E76" i="14" s="1"/>
  <c r="E26" i="14"/>
  <c r="F26" i="14" s="1"/>
  <c r="F5" i="14" s="1"/>
  <c r="E28" i="14" s="1"/>
  <c r="E145" i="14" s="1"/>
  <c r="F145" i="14" s="1"/>
  <c r="E116" i="14"/>
  <c r="F116" i="14" s="1"/>
  <c r="F101" i="14" s="1"/>
  <c r="E118" i="14" s="1"/>
  <c r="E26" i="8"/>
  <c r="F26" i="8" s="1"/>
  <c r="F5" i="8" s="1"/>
  <c r="E28" i="8" s="1"/>
  <c r="E145" i="8" s="1"/>
  <c r="F145" i="8" s="1"/>
  <c r="E50" i="8"/>
  <c r="E95" i="8"/>
  <c r="F95" i="8" s="1"/>
  <c r="F80" i="8" s="1"/>
  <c r="E97" i="8" s="1"/>
  <c r="E148" i="8" s="1"/>
  <c r="F148" i="8" s="1"/>
  <c r="E116" i="8"/>
  <c r="F116" i="8" s="1"/>
  <c r="F101" i="8" s="1"/>
  <c r="E118" i="8" s="1"/>
  <c r="E149" i="8" s="1"/>
  <c r="F149" i="8" s="1"/>
  <c r="E74" i="8"/>
  <c r="E138" i="8"/>
  <c r="F138" i="8" s="1"/>
  <c r="F122" i="8" s="1"/>
  <c r="E140" i="8" s="1"/>
  <c r="F52" i="20"/>
  <c r="F118" i="20"/>
  <c r="E148" i="20"/>
  <c r="F148" i="20" s="1"/>
  <c r="F97" i="20"/>
  <c r="E147" i="12" l="1"/>
  <c r="F147" i="12" s="1"/>
  <c r="E150" i="8"/>
  <c r="F150" i="8" s="1"/>
  <c r="F74" i="8"/>
  <c r="F56" i="8" s="1"/>
  <c r="E76" i="8" s="1"/>
  <c r="F76" i="8" s="1"/>
  <c r="F50" i="8"/>
  <c r="F32" i="8" s="1"/>
  <c r="E52" i="8" s="1"/>
  <c r="F52" i="8" s="1"/>
  <c r="K8" i="3"/>
  <c r="F97" i="12"/>
  <c r="F140" i="8"/>
  <c r="F28" i="12"/>
  <c r="F52" i="12"/>
  <c r="F140" i="12"/>
  <c r="F118" i="12"/>
  <c r="F28" i="14"/>
  <c r="G79" i="15"/>
  <c r="G81" i="15" s="1"/>
  <c r="H63" i="15"/>
  <c r="G79" i="9"/>
  <c r="G81" i="9" s="1"/>
  <c r="E60" i="17"/>
  <c r="G60" i="17" s="1"/>
  <c r="G58" i="17" s="1"/>
  <c r="G7" i="17" s="1"/>
  <c r="G62" i="17" s="1"/>
  <c r="G63" i="17" s="1"/>
  <c r="E150" i="14"/>
  <c r="F150" i="14" s="1"/>
  <c r="F140" i="14"/>
  <c r="F76" i="14"/>
  <c r="E147" i="14"/>
  <c r="F147" i="14" s="1"/>
  <c r="E148" i="14"/>
  <c r="F148" i="14" s="1"/>
  <c r="F97" i="14"/>
  <c r="F52" i="14"/>
  <c r="E146" i="14"/>
  <c r="F146" i="14" s="1"/>
  <c r="F118" i="14"/>
  <c r="E149" i="14"/>
  <c r="F149" i="14" s="1"/>
  <c r="F28" i="8"/>
  <c r="F118" i="8"/>
  <c r="F97" i="8"/>
  <c r="F151" i="20"/>
  <c r="E146" i="8" l="1"/>
  <c r="F146" i="8" s="1"/>
  <c r="E147" i="8"/>
  <c r="F147" i="8" s="1"/>
  <c r="J22" i="3"/>
  <c r="K22" i="3" s="1"/>
  <c r="J20" i="3"/>
  <c r="F151" i="12"/>
  <c r="G79" i="17"/>
  <c r="G81" i="17" s="1"/>
  <c r="E95" i="16"/>
  <c r="F95" i="16" s="1"/>
  <c r="F80" i="16" s="1"/>
  <c r="E97" i="16" s="1"/>
  <c r="E116" i="16"/>
  <c r="F116" i="16" s="1"/>
  <c r="F101" i="16" s="1"/>
  <c r="E118" i="16" s="1"/>
  <c r="E26" i="16"/>
  <c r="F26" i="16" s="1"/>
  <c r="F5" i="16" s="1"/>
  <c r="E28" i="16" s="1"/>
  <c r="E138" i="16"/>
  <c r="F138" i="16" s="1"/>
  <c r="F122" i="16" s="1"/>
  <c r="E140" i="16" s="1"/>
  <c r="E74" i="16"/>
  <c r="F74" i="16" s="1"/>
  <c r="F56" i="16" s="1"/>
  <c r="E76" i="16" s="1"/>
  <c r="E50" i="16"/>
  <c r="F50" i="16" s="1"/>
  <c r="F32" i="16" s="1"/>
  <c r="E52" i="16" s="1"/>
  <c r="E95" i="10"/>
  <c r="F95" i="10" s="1"/>
  <c r="F80" i="10" s="1"/>
  <c r="E97" i="10" s="1"/>
  <c r="E116" i="10"/>
  <c r="F116" i="10" s="1"/>
  <c r="F101" i="10" s="1"/>
  <c r="E118" i="10" s="1"/>
  <c r="E26" i="10"/>
  <c r="F26" i="10" s="1"/>
  <c r="F5" i="10" s="1"/>
  <c r="E28" i="10" s="1"/>
  <c r="E50" i="10"/>
  <c r="F50" i="10" s="1"/>
  <c r="F32" i="10" s="1"/>
  <c r="E52" i="10" s="1"/>
  <c r="E138" i="10"/>
  <c r="F138" i="10" s="1"/>
  <c r="F122" i="10" s="1"/>
  <c r="E140" i="10" s="1"/>
  <c r="E74" i="10"/>
  <c r="F74" i="10" s="1"/>
  <c r="F56" i="10" s="1"/>
  <c r="E76" i="10" s="1"/>
  <c r="H22" i="3"/>
  <c r="F151" i="14"/>
  <c r="H16" i="3" s="1"/>
  <c r="F151" i="8" l="1"/>
  <c r="K20" i="3"/>
  <c r="J25" i="3"/>
  <c r="H13" i="3"/>
  <c r="F76" i="10"/>
  <c r="E147" i="10"/>
  <c r="F147" i="10" s="1"/>
  <c r="E146" i="16"/>
  <c r="F146" i="16" s="1"/>
  <c r="F52" i="16"/>
  <c r="F140" i="10"/>
  <c r="E150" i="10"/>
  <c r="F150" i="10" s="1"/>
  <c r="F118" i="10"/>
  <c r="E149" i="10"/>
  <c r="F149" i="10" s="1"/>
  <c r="F140" i="16"/>
  <c r="E150" i="16"/>
  <c r="F150" i="16" s="1"/>
  <c r="E148" i="16"/>
  <c r="F148" i="16" s="1"/>
  <c r="F97" i="16"/>
  <c r="E95" i="18"/>
  <c r="F95" i="18" s="1"/>
  <c r="F80" i="18" s="1"/>
  <c r="E97" i="18" s="1"/>
  <c r="E26" i="18"/>
  <c r="F26" i="18" s="1"/>
  <c r="F5" i="18" s="1"/>
  <c r="E28" i="18" s="1"/>
  <c r="E50" i="18"/>
  <c r="F50" i="18" s="1"/>
  <c r="F32" i="18" s="1"/>
  <c r="E52" i="18" s="1"/>
  <c r="E74" i="18"/>
  <c r="F74" i="18" s="1"/>
  <c r="F56" i="18" s="1"/>
  <c r="E76" i="18" s="1"/>
  <c r="E116" i="18"/>
  <c r="F116" i="18" s="1"/>
  <c r="F101" i="18" s="1"/>
  <c r="E118" i="18" s="1"/>
  <c r="E138" i="18"/>
  <c r="F138" i="18" s="1"/>
  <c r="F122" i="18" s="1"/>
  <c r="E140" i="18" s="1"/>
  <c r="E146" i="10"/>
  <c r="F146" i="10" s="1"/>
  <c r="F52" i="10"/>
  <c r="F97" i="10"/>
  <c r="E148" i="10"/>
  <c r="F148" i="10" s="1"/>
  <c r="E145" i="16"/>
  <c r="F145" i="16" s="1"/>
  <c r="F28" i="16"/>
  <c r="F28" i="10"/>
  <c r="E145" i="10"/>
  <c r="F145" i="10" s="1"/>
  <c r="E147" i="16"/>
  <c r="F147" i="16" s="1"/>
  <c r="F76" i="16"/>
  <c r="E149" i="16"/>
  <c r="F149" i="16" s="1"/>
  <c r="F118" i="16"/>
  <c r="H5" i="3" l="1"/>
  <c r="F151" i="10"/>
  <c r="F28" i="18"/>
  <c r="E145" i="18"/>
  <c r="F145" i="18" s="1"/>
  <c r="E147" i="18"/>
  <c r="F147" i="18" s="1"/>
  <c r="F76" i="18"/>
  <c r="E146" i="18"/>
  <c r="F146" i="18" s="1"/>
  <c r="F52" i="18"/>
  <c r="F151" i="16"/>
  <c r="E150" i="18"/>
  <c r="F150" i="18" s="1"/>
  <c r="F140" i="18"/>
  <c r="E149" i="18"/>
  <c r="F149" i="18" s="1"/>
  <c r="F118" i="18"/>
  <c r="E148" i="18"/>
  <c r="F148" i="18" s="1"/>
  <c r="F97" i="18"/>
  <c r="F151" i="18" l="1"/>
  <c r="H18" i="3"/>
  <c r="H8" i="3"/>
  <c r="H20" i="3" l="1"/>
  <c r="H25" i="3" s="1"/>
  <c r="H27" i="3" l="1"/>
</calcChain>
</file>

<file path=xl/sharedStrings.xml><?xml version="1.0" encoding="utf-8"?>
<sst xmlns="http://schemas.openxmlformats.org/spreadsheetml/2006/main" count="3746" uniqueCount="538">
  <si>
    <t>Dimensionamento da equipe de escritório: Custos Gerenciais e indiretos</t>
  </si>
  <si>
    <t>Atividades de Nível Superior</t>
  </si>
  <si>
    <t>Coordenador</t>
  </si>
  <si>
    <t>funcionário</t>
  </si>
  <si>
    <t>Engenheiro Sênior</t>
  </si>
  <si>
    <t>Engenheiro Pleno</t>
  </si>
  <si>
    <t>Engenheiro Junior</t>
  </si>
  <si>
    <t>Profissional Junior</t>
  </si>
  <si>
    <t>Técnico Sênior</t>
  </si>
  <si>
    <t>Técnico Pleno</t>
  </si>
  <si>
    <t>Técnico Júnior</t>
  </si>
  <si>
    <t>Secretária</t>
  </si>
  <si>
    <t>Auxiliar de Escritório/de Campo/Motorista</t>
  </si>
  <si>
    <t>Servente</t>
  </si>
  <si>
    <t>DIÁRIAS POR LOTE</t>
  </si>
  <si>
    <t>Total</t>
  </si>
  <si>
    <t>Diárias</t>
  </si>
  <si>
    <t>LOTE 01</t>
  </si>
  <si>
    <t>LOTE 02</t>
  </si>
  <si>
    <t>LOTE 03</t>
  </si>
  <si>
    <t>LOTE 04</t>
  </si>
  <si>
    <t>LOTE 05</t>
  </si>
  <si>
    <t>LOTE 06</t>
  </si>
  <si>
    <t>LOTE 07</t>
  </si>
  <si>
    <t>RESUMO - SUPERVISORAS</t>
  </si>
  <si>
    <t>LOTE</t>
  </si>
  <si>
    <t>UF</t>
  </si>
  <si>
    <t>ETAPA</t>
  </si>
  <si>
    <t>RODOVIAS</t>
  </si>
  <si>
    <t>TRECHO</t>
  </si>
  <si>
    <t>EXTENSÃO (KM)</t>
  </si>
  <si>
    <t>VALOR DO CONTRATO (R$)</t>
  </si>
  <si>
    <t>FWD</t>
  </si>
  <si>
    <t>IRI</t>
  </si>
  <si>
    <t>LVC</t>
  </si>
  <si>
    <t>MANCHA AREIA</t>
  </si>
  <si>
    <t>SP</t>
  </si>
  <si>
    <t>1ª Etapa</t>
  </si>
  <si>
    <t>2ª Etapa</t>
  </si>
  <si>
    <t>BR-153/SP (TRANSBRASILIANA)</t>
  </si>
  <si>
    <t>Divisa MG/SP - Divisa SP/PR</t>
  </si>
  <si>
    <t>RJ</t>
  </si>
  <si>
    <t>BR-116/RJ (CRT)</t>
  </si>
  <si>
    <t>Rio de Janeiro - Teresópolis - Além Paraíba</t>
  </si>
  <si>
    <t>BR-101/RJ (FLUMINENSE)</t>
  </si>
  <si>
    <t>Ponte Rio-Niterói - Divisa RJ/ES</t>
  </si>
  <si>
    <t>BR-393/RJ (RODOVIA DO AÇO)</t>
  </si>
  <si>
    <t>Divisa MG/RJ - Entrº Via Dutra</t>
  </si>
  <si>
    <t>3ª Etapa</t>
  </si>
  <si>
    <t>BR-101/RJ (ECOPONTE)</t>
  </si>
  <si>
    <t>Ponte Pres. Costa e Silva</t>
  </si>
  <si>
    <t>RS</t>
  </si>
  <si>
    <t>BR-290/RS (CONCEPA)</t>
  </si>
  <si>
    <t>BR-116/293/RS (ECOSUL)</t>
  </si>
  <si>
    <t>Pólo de Pelotas</t>
  </si>
  <si>
    <t>4ª Etapa</t>
  </si>
  <si>
    <t>BR-101/290/386/448/RS (RIS)</t>
  </si>
  <si>
    <t>Torres - Osório - Cachoeirinha - Carazinho</t>
  </si>
  <si>
    <t>PR/SC</t>
  </si>
  <si>
    <t>BR-116/PR/SC (PLANALTO SUL)</t>
  </si>
  <si>
    <t>Curitiba - Divisa SC/RS</t>
  </si>
  <si>
    <t>BR-376/PR - BR-101/SC (LITORAL SUL)</t>
  </si>
  <si>
    <t>Curitiba - Palhoça</t>
  </si>
  <si>
    <t>BA</t>
  </si>
  <si>
    <t>BR-116/324/526/528/BA (VIA BAHIA)</t>
  </si>
  <si>
    <t>Divisa MG/BA - Salvador - Acesso a Aratú</t>
  </si>
  <si>
    <t>ES</t>
  </si>
  <si>
    <t>BR-101/ES (ECO101)</t>
  </si>
  <si>
    <t>Entrº BA-698 (Acesso Mucuri) - Divisa ES/RJ</t>
  </si>
  <si>
    <t>MS</t>
  </si>
  <si>
    <t>BR-163/MS (MS VIA)</t>
  </si>
  <si>
    <t>Divisa MS/PR a Divisa MS/MT</t>
  </si>
  <si>
    <t>MT</t>
  </si>
  <si>
    <t>BR-163/MT (CRO)</t>
  </si>
  <si>
    <t>Divisa MS/MT - Entrº MT-220</t>
  </si>
  <si>
    <t>TOTAL</t>
  </si>
  <si>
    <t>VALOR MÉDIO / KM</t>
  </si>
  <si>
    <t>SP/PR</t>
  </si>
  <si>
    <t>MG/SP</t>
  </si>
  <si>
    <t>DF/GO/MG</t>
  </si>
  <si>
    <t>GO/MG</t>
  </si>
  <si>
    <t>Rio de Janeiro – São Paulo</t>
  </si>
  <si>
    <t>São Paulo – Curitiba (Régis Bitencourt)</t>
  </si>
  <si>
    <t>Rio de Janeiro – Juiz de Fora</t>
  </si>
  <si>
    <t>Belo Horizonte – São Paulo (Fernão Dias)</t>
  </si>
  <si>
    <t>Distrito Federal – Goiás – Minas Gerais</t>
  </si>
  <si>
    <t>Divisa MS/PR a divisa MS/MT</t>
  </si>
  <si>
    <t>Entr. com a BR-040 (Cristalina/GO - Divisa MG/SP)</t>
  </si>
  <si>
    <t>BR-116/RJ/SP (NOVADUTRA)</t>
  </si>
  <si>
    <t>BR-116/SP/PR (RÉGIS BITTENCOURT)</t>
  </si>
  <si>
    <t>BR-040/MG/RJ (CONCER)</t>
  </si>
  <si>
    <t>BR-381/MG/SP (FERNÃO DIAS)</t>
  </si>
  <si>
    <t>BR-060/153/262/DF/GO/MG (CONCEBRA)</t>
  </si>
  <si>
    <t>BR-040/DF/GO/MG (VIA 040)</t>
  </si>
  <si>
    <t>BR-050/GO/MG (MGO RODOVIAS)</t>
  </si>
  <si>
    <t>RJ/SP</t>
  </si>
  <si>
    <t>MG/RJ</t>
  </si>
  <si>
    <t>Custos Gerenciais e Indiretos - LOTE 01</t>
  </si>
  <si>
    <t>RODOVIAS 
LOTE 01:</t>
  </si>
  <si>
    <t>Data base: ABRIL/17</t>
  </si>
  <si>
    <t>EXTENSÃO:</t>
  </si>
  <si>
    <t>Código</t>
  </si>
  <si>
    <t>Item</t>
  </si>
  <si>
    <t>Descrição</t>
  </si>
  <si>
    <t>Unidade</t>
  </si>
  <si>
    <t>Quantidade</t>
  </si>
  <si>
    <t>R$ Unitário</t>
  </si>
  <si>
    <t>R$ Total</t>
  </si>
  <si>
    <t>Custos Gerenciais e Indiretos</t>
  </si>
  <si>
    <t>Equipe Técnica</t>
  </si>
  <si>
    <t>1.1</t>
  </si>
  <si>
    <t>Consultor</t>
  </si>
  <si>
    <t>CM</t>
  </si>
  <si>
    <t>1.1.1</t>
  </si>
  <si>
    <t>Consultor Especial ( C )</t>
  </si>
  <si>
    <t>Pessoa Juridíca</t>
  </si>
  <si>
    <t>1.2</t>
  </si>
  <si>
    <t>P0</t>
  </si>
  <si>
    <t>1.2.1</t>
  </si>
  <si>
    <t>P1</t>
  </si>
  <si>
    <t>1.2.2</t>
  </si>
  <si>
    <t>P2</t>
  </si>
  <si>
    <t>1.2.3</t>
  </si>
  <si>
    <t>P3</t>
  </si>
  <si>
    <t>1.2.4</t>
  </si>
  <si>
    <t>1.2.5</t>
  </si>
  <si>
    <t>1.3</t>
  </si>
  <si>
    <t>Nível Técnico</t>
  </si>
  <si>
    <t>T1</t>
  </si>
  <si>
    <t>1.3.1</t>
  </si>
  <si>
    <t>T2</t>
  </si>
  <si>
    <t>1.3.2</t>
  </si>
  <si>
    <t>T3</t>
  </si>
  <si>
    <t>1.4</t>
  </si>
  <si>
    <t>Nível Auxiliar</t>
  </si>
  <si>
    <t>A1</t>
  </si>
  <si>
    <t>1.4.1</t>
  </si>
  <si>
    <t>A2</t>
  </si>
  <si>
    <t>1.4.2</t>
  </si>
  <si>
    <t>Auxiliar de Escritório/ de Campo/ Motorista</t>
  </si>
  <si>
    <t>A3</t>
  </si>
  <si>
    <t>1.4.3</t>
  </si>
  <si>
    <t>Servente/Contínuos</t>
  </si>
  <si>
    <t>Encargos Sociais</t>
  </si>
  <si>
    <t>2.1</t>
  </si>
  <si>
    <t>Encargos sociais (consultor PJ)</t>
  </si>
  <si>
    <t>percentual</t>
  </si>
  <si>
    <t>2.2</t>
  </si>
  <si>
    <t>Encargos sociais (mensalista)</t>
  </si>
  <si>
    <t>Custo Administrativo</t>
  </si>
  <si>
    <t>3.1</t>
  </si>
  <si>
    <t>Custo administrativo (sobre pessoal)</t>
  </si>
  <si>
    <t>Utilização de Veículos</t>
  </si>
  <si>
    <t>4.1</t>
  </si>
  <si>
    <t>Veículo Sedan - 71 a 115 cv</t>
  </si>
  <si>
    <t>unidade</t>
  </si>
  <si>
    <t>4.2</t>
  </si>
  <si>
    <t>Caminhonete - 140 a 165 cv</t>
  </si>
  <si>
    <t>Utilização de Equipamentos e Software</t>
  </si>
  <si>
    <t>5.1</t>
  </si>
  <si>
    <t>Micro Computador (inclusive software)</t>
  </si>
  <si>
    <t>5.2</t>
  </si>
  <si>
    <t>Notebook (inclusive software)</t>
  </si>
  <si>
    <t>5.3</t>
  </si>
  <si>
    <t>Impressora A4</t>
  </si>
  <si>
    <t>5.4</t>
  </si>
  <si>
    <t>Impressora A3</t>
  </si>
  <si>
    <t>5.5</t>
  </si>
  <si>
    <t>Máquina Fotográfica</t>
  </si>
  <si>
    <t>Serviços Gráficos</t>
  </si>
  <si>
    <t>6.1</t>
  </si>
  <si>
    <t>verba</t>
  </si>
  <si>
    <t>Imóveis e Mobiliário</t>
  </si>
  <si>
    <t>7.1</t>
  </si>
  <si>
    <t>Escritório (aluguel e custeio)</t>
  </si>
  <si>
    <t>7.2</t>
  </si>
  <si>
    <t>Mobiliário de escritório (aluguel e custeio)</t>
  </si>
  <si>
    <t>conjunto</t>
  </si>
  <si>
    <t>Despesas</t>
  </si>
  <si>
    <t>8.1</t>
  </si>
  <si>
    <t>unid</t>
  </si>
  <si>
    <t>8.2</t>
  </si>
  <si>
    <t>Combustível (10km/L)</t>
  </si>
  <si>
    <t>litros</t>
  </si>
  <si>
    <t>Remuneração e Tributos</t>
  </si>
  <si>
    <t>9.1</t>
  </si>
  <si>
    <t>Remuneração da empresa</t>
  </si>
  <si>
    <t>9.2</t>
  </si>
  <si>
    <t>Despesas fiscais/pis/iss/cofins</t>
  </si>
  <si>
    <t>TOTAL GERAL (MENSAL)</t>
  </si>
  <si>
    <t>TOTAL GERAL (ANUAL)</t>
  </si>
  <si>
    <t>Cálculo dos Custos Gerenciais e Indiretos  por HORA</t>
  </si>
  <si>
    <t>Qtde</t>
  </si>
  <si>
    <t>Horas</t>
  </si>
  <si>
    <t>Total Horas</t>
  </si>
  <si>
    <t>Total:</t>
  </si>
  <si>
    <t>Custo Gerencial Horário (Custo Adm. + Ind. / Quantidade Horas)</t>
  </si>
  <si>
    <t>Custos Gerenciais e Indiretos (anual)</t>
  </si>
  <si>
    <t>Reais</t>
  </si>
  <si>
    <t>Total de Horas Trabalhadas (ano)</t>
  </si>
  <si>
    <t>Custo Gerencial e Indiretos (por hora)</t>
  </si>
  <si>
    <t>R$ / H</t>
  </si>
  <si>
    <t>BR-116/RJ/SP (NOVA DUTRA)
BR-116/SP/PR (RÉGIS BITTENCOURT)
BR-153/SP (TRANSBRASILIANA)</t>
  </si>
  <si>
    <t>COMPOSIÇÃO DE PREÇOS</t>
  </si>
  <si>
    <t>Base</t>
  </si>
  <si>
    <t>Valores em Reais</t>
  </si>
  <si>
    <t>Mês Base</t>
  </si>
  <si>
    <t>ITEM</t>
  </si>
  <si>
    <t>DESCRIÇÃO</t>
  </si>
  <si>
    <t>UNIDADE</t>
  </si>
  <si>
    <t>QTE</t>
  </si>
  <si>
    <t>VALOR</t>
  </si>
  <si>
    <t>UNITÁRIO</t>
  </si>
  <si>
    <t>ES - C</t>
  </si>
  <si>
    <t>Pessoal</t>
  </si>
  <si>
    <t>CA</t>
  </si>
  <si>
    <t>mês</t>
  </si>
  <si>
    <t>RE</t>
  </si>
  <si>
    <t>Nível Superior</t>
  </si>
  <si>
    <t>DF</t>
  </si>
  <si>
    <t>Coordenador Geral (P0)</t>
  </si>
  <si>
    <t>Profissional Sênior (P1)</t>
  </si>
  <si>
    <t>Profissional Pleno (P2)</t>
  </si>
  <si>
    <t>Profissional Junior (P3)</t>
  </si>
  <si>
    <t>P4</t>
  </si>
  <si>
    <t>T0</t>
  </si>
  <si>
    <t>1.3.3</t>
  </si>
  <si>
    <t>1.3.4</t>
  </si>
  <si>
    <t>1.3.5</t>
  </si>
  <si>
    <t>T4</t>
  </si>
  <si>
    <t>Ch. Escritório (A0)</t>
  </si>
  <si>
    <t>A0</t>
  </si>
  <si>
    <t>Secretária (A1)</t>
  </si>
  <si>
    <t>Motorista (A2)</t>
  </si>
  <si>
    <t>1.4.4</t>
  </si>
  <si>
    <t>SERVENTES/CONTÍNUOS</t>
  </si>
  <si>
    <t>1.4.5</t>
  </si>
  <si>
    <t>VIGIAS</t>
  </si>
  <si>
    <t>A4</t>
  </si>
  <si>
    <t>(A)</t>
  </si>
  <si>
    <t>Total de Pessoal</t>
  </si>
  <si>
    <t>(B)</t>
  </si>
  <si>
    <t>Encargos Sociais = 20 % de (Consultor)</t>
  </si>
  <si>
    <t>(C)</t>
  </si>
  <si>
    <t>Encargos Sociais = 84,04 % de (Pessoal - Consultor)</t>
  </si>
  <si>
    <t>(D)</t>
  </si>
  <si>
    <t>Custos Administrativos = 30,00 % de (A)</t>
  </si>
  <si>
    <t>A</t>
  </si>
  <si>
    <t>2.3</t>
  </si>
  <si>
    <t>B</t>
  </si>
  <si>
    <t>2.4</t>
  </si>
  <si>
    <t>GPS</t>
  </si>
  <si>
    <t>B1</t>
  </si>
  <si>
    <t>2.5</t>
  </si>
  <si>
    <t>Equipamento Fotográfico / Filmagem</t>
  </si>
  <si>
    <t>D</t>
  </si>
  <si>
    <t>2.6</t>
  </si>
  <si>
    <t>Diárias de Nível Superior - Nacional</t>
  </si>
  <si>
    <t>E</t>
  </si>
  <si>
    <t>2.7</t>
  </si>
  <si>
    <t>Diárias de Nível Técnico - Nacional</t>
  </si>
  <si>
    <t>F</t>
  </si>
  <si>
    <t>2.8</t>
  </si>
  <si>
    <t>Passagens Aéreas - Nacional</t>
  </si>
  <si>
    <t>G</t>
  </si>
  <si>
    <t>2.9</t>
  </si>
  <si>
    <t>Serviços Gráficos (cópias coloridas e encad.)</t>
  </si>
  <si>
    <t>H</t>
  </si>
  <si>
    <t>2.10</t>
  </si>
  <si>
    <t>2.11</t>
  </si>
  <si>
    <t>2.12</t>
  </si>
  <si>
    <t>FALLING WEIGHT DEFLECTOMETER - FWD</t>
  </si>
  <si>
    <t>Mês</t>
  </si>
  <si>
    <t>(E)</t>
  </si>
  <si>
    <t>Total de Despesas</t>
  </si>
  <si>
    <t>SUBTOTAL 1 (S1 = A+B+C+D+E)</t>
  </si>
  <si>
    <t>(F)</t>
  </si>
  <si>
    <t>Custos Indiretos</t>
  </si>
  <si>
    <t>(F1)</t>
  </si>
  <si>
    <t>Remuneração da Empresas (F1 = 12% de (S1))</t>
  </si>
  <si>
    <t>SUBTOTAL 2 (S2 = S1 + F1)</t>
  </si>
  <si>
    <t>(F2)</t>
  </si>
  <si>
    <t>Despesas Fiscais (F2 = 16,62 % de S2)</t>
  </si>
  <si>
    <t>TOTAL GERAL DE CUSTOS FIXOS (S2 + E2)</t>
  </si>
  <si>
    <t>Preço mais baixo - www.decolar.com</t>
  </si>
  <si>
    <t>Passagem</t>
  </si>
  <si>
    <t>IDA/VOLTA</t>
  </si>
  <si>
    <t>IMPOSTOS/TAXAS</t>
  </si>
  <si>
    <t>Média</t>
  </si>
  <si>
    <t>Diárias de Nível Superior Nacionais</t>
  </si>
  <si>
    <t>Diárias de Nível tecnico nacionais</t>
  </si>
  <si>
    <t>Diárias de Nível Superior Internacionais</t>
  </si>
  <si>
    <t>Cotação (25/05/2017) pesquisa sem data definida Menor Números de Conexões INTERNACIONAIS - www.decolar.com</t>
  </si>
  <si>
    <t>Brasília - Paris (França)</t>
  </si>
  <si>
    <t>Brasília - Washington (EUA)</t>
  </si>
  <si>
    <t>Brasília - Santiago (Chile)</t>
  </si>
  <si>
    <t>Brasília - Hong Kong (China)</t>
  </si>
  <si>
    <t>Brasília - Sidney (Australia)</t>
  </si>
  <si>
    <t>Diária Internacional US$</t>
  </si>
  <si>
    <t>Classe III</t>
  </si>
  <si>
    <t>Classe IV</t>
  </si>
  <si>
    <t>Classe V</t>
  </si>
  <si>
    <t>Brasília - Pequim (China)</t>
  </si>
  <si>
    <t>Média Final</t>
  </si>
  <si>
    <t>US$</t>
  </si>
  <si>
    <t>R$</t>
  </si>
  <si>
    <t>Focus/Bacen - 19/05/17</t>
  </si>
  <si>
    <t>2017-R$/US$ - fim de período</t>
  </si>
  <si>
    <t>Anexo I Decreto No. 6.907 de 21/07/2009</t>
  </si>
  <si>
    <t>Classificação do Cargo/Emprego/Função</t>
  </si>
  <si>
    <t>Deslocamentos para Brasília/Manaus/ Rio de Janeiro</t>
  </si>
  <si>
    <t>Deslocamentos para Belo Horizonte/ Fortaleza/Porto Alegre/Recife/ Salvador/São Paulo</t>
  </si>
  <si>
    <t>Deslocamentos para outras capitais de Estados</t>
  </si>
  <si>
    <t>Demais deslocamentos</t>
  </si>
  <si>
    <t>Média R$</t>
  </si>
  <si>
    <t>C) DAS-6; CD-1; FDS-1 e FDJ-1 do BACEN</t>
  </si>
  <si>
    <t>D) DAS-5, DAS-4, DAS-3; CD-2, CD-3, CD-4; FDE-1, FDE-2; FDT-1; FCA-1, FCA-2, FCA-3; FCT1, FCT2; FCT3, GTS1; GTS2; GTS3.</t>
  </si>
  <si>
    <t>E) DAS-2, DAS-1; FCT4, FCT5, FCT6, FCT7; cargos de nível superior e FCINSS.</t>
  </si>
  <si>
    <t>Média NS</t>
  </si>
  <si>
    <t>F) FG-1, FG-2, FG-3; GR; FST-1, FST-2, FST-3 do BACEN; FDO-1, FCA-4, FCA-5 do BACEN; FCT8, FCT9, FCT10, FCT11, FCT12, FCT13, FCT14, FCT15; cargos de nível intermediário e auxiliar</t>
  </si>
  <si>
    <t>Média NI</t>
  </si>
  <si>
    <t>MANCHA DE AREIA</t>
  </si>
  <si>
    <t>PREÇO ADOTADO</t>
  </si>
  <si>
    <t>EMPRESA 01</t>
  </si>
  <si>
    <t>EMPRESA 02</t>
  </si>
  <si>
    <t>EMPRESA 03</t>
  </si>
  <si>
    <t>Mob/Desmob</t>
  </si>
  <si>
    <t>Preço Unit</t>
  </si>
  <si>
    <t>Preço Total</t>
  </si>
  <si>
    <t>MANCHA de AREIA</t>
  </si>
  <si>
    <t>1ª etapa</t>
  </si>
  <si>
    <t>Rio de janeiro – Teresópolis – Além Paraíba</t>
  </si>
  <si>
    <t>Osório – Porto Alegre</t>
  </si>
  <si>
    <t>2ª etapa</t>
  </si>
  <si>
    <t>BR-101/RJ (FLUMINENSE)</t>
  </si>
  <si>
    <t>BR-153/SP (TRANSBRASILIANA)</t>
  </si>
  <si>
    <t>BR-393/RJ (RODOVIA DO AÇO)</t>
  </si>
  <si>
    <t>Divisa MG/RJ - Entroncamento com a Via Dutra</t>
  </si>
  <si>
    <t>Divisa BA/MG - Salvador - Acesso à Base Naval de Aratu</t>
  </si>
  <si>
    <t>3ª etapa</t>
  </si>
  <si>
    <t>BR-101/ES/RJ (ECO 101)</t>
  </si>
  <si>
    <t>Entr. com a BA-698 (acesso a Mucuri) - Divisa ES/RJ</t>
  </si>
  <si>
    <t>BR-163 E MT-407, da Divisa MT/MS até o Entroncamento com a MT-220</t>
  </si>
  <si>
    <t>Brasília/DF - Juiz de Fora/MG</t>
  </si>
  <si>
    <t>Ponte Presidente Costa e Silva e respectivos acessos</t>
  </si>
  <si>
    <t>NÍVEL SUPERIOR</t>
  </si>
  <si>
    <t>CONSULTOR ESPECIAL</t>
  </si>
  <si>
    <t>COORDENADOR</t>
  </si>
  <si>
    <t>ENGENHEIRO/PROFISSIONAL SÊNIOR</t>
  </si>
  <si>
    <t>ENGENHEIRO/PROFISSIONAL PLENO</t>
  </si>
  <si>
    <t>ENGENHEIRO/PROFISSIONAL JÚNIOR</t>
  </si>
  <si>
    <t>ENGENHEIRO/PROFISSIONAL AUXILIAR</t>
  </si>
  <si>
    <t>NÍVEL TÉCNICO</t>
  </si>
  <si>
    <t>TÉCNICO ESPECIAL</t>
  </si>
  <si>
    <t>TÉCNICO SÊNIOR</t>
  </si>
  <si>
    <t>TÉCNICO PLENO</t>
  </si>
  <si>
    <t>TÉCNICO JÚNIOR</t>
  </si>
  <si>
    <t>TÉCNICO AUXILIAR</t>
  </si>
  <si>
    <t>NÍVEL AUXILIAR</t>
  </si>
  <si>
    <t>CHEFE DE ESCRITÓRIO</t>
  </si>
  <si>
    <t>SECRETÁRIA</t>
  </si>
  <si>
    <t>AUXILIAR DE ESCRITÓRIO/DE CAMPO/MOTORISTA</t>
  </si>
  <si>
    <t>VEÍCULOS</t>
  </si>
  <si>
    <t>SEDAN - 71 A 115 CV</t>
  </si>
  <si>
    <t>CAMINHONETE - 71 A 115 CV</t>
  </si>
  <si>
    <t>CAMINHONETE - 140A 165 CV</t>
  </si>
  <si>
    <t>VAN - 120 A 140 CV</t>
  </si>
  <si>
    <t>CAMINHÃO PARA VIGA BENKELMAN</t>
  </si>
  <si>
    <t>EQUIPAMENTOS</t>
  </si>
  <si>
    <t>INSTRUMENTAL DE TOPOGRAFIA</t>
  </si>
  <si>
    <t>VIGA BENKELMAN</t>
  </si>
  <si>
    <t>INTEGRADOR MAYSMETER</t>
  </si>
  <si>
    <t>LABORATÓRIO DE SOLOS</t>
  </si>
  <si>
    <t>LABORATÓRIO DE BETUME</t>
  </si>
  <si>
    <t>LABORATÓRIO DE CONCRETO</t>
  </si>
  <si>
    <t>IMÓVEIS</t>
  </si>
  <si>
    <t>ESCRITÓRIO</t>
  </si>
  <si>
    <t>CASA PARA ENGENHEIRO</t>
  </si>
  <si>
    <t>ALOJAMENTO PARA PESSOAL</t>
  </si>
  <si>
    <t>MOBILIÁRIO</t>
  </si>
  <si>
    <t>DE ESCRITÓRIO</t>
  </si>
  <si>
    <t>DE ALOJAMENTO P/ PESSOAL</t>
  </si>
  <si>
    <t>Composição dos Custos para Elaboração dos Relatórios:</t>
  </si>
  <si>
    <t>KM MÉDIO</t>
  </si>
  <si>
    <t>Relatório de Apoio na Análise da Monitoração do Pavimento</t>
  </si>
  <si>
    <t>Premissas:</t>
  </si>
  <si>
    <t>$ Unitário</t>
  </si>
  <si>
    <t>$ Total</t>
  </si>
  <si>
    <t>1- jornada de 8h/dia</t>
  </si>
  <si>
    <t>Horas úteis (1 ano)</t>
  </si>
  <si>
    <t>Meses</t>
  </si>
  <si>
    <t>Horas úteis/mês</t>
  </si>
  <si>
    <t>dias úteis/mês</t>
  </si>
  <si>
    <t>horas de trabalho/dia</t>
  </si>
  <si>
    <t>2- 264 dias úteis no ano</t>
  </si>
  <si>
    <t>Mão de Obra</t>
  </si>
  <si>
    <t>Engenheiro Sênior - Pavimentação</t>
  </si>
  <si>
    <t>hora</t>
  </si>
  <si>
    <t>Engenheiro Júnior</t>
  </si>
  <si>
    <t>Auxiliar de escritório / campo</t>
  </si>
  <si>
    <t>Encargos sobre a Mão de Obra</t>
  </si>
  <si>
    <t>I1</t>
  </si>
  <si>
    <t>Encargos sociais</t>
  </si>
  <si>
    <t>I3</t>
  </si>
  <si>
    <t>Serviços de Terceiros</t>
  </si>
  <si>
    <t>S2</t>
  </si>
  <si>
    <t>km x faixa</t>
  </si>
  <si>
    <t>S3</t>
  </si>
  <si>
    <t>S4</t>
  </si>
  <si>
    <t>S5</t>
  </si>
  <si>
    <t>und.</t>
  </si>
  <si>
    <t>Remuneração / Tributos / Gerenciamento</t>
  </si>
  <si>
    <t>I4</t>
  </si>
  <si>
    <t>I5</t>
  </si>
  <si>
    <t>X1</t>
  </si>
  <si>
    <t>Custo total dos Relatórios</t>
  </si>
  <si>
    <t>Engenheiro Pleno - Sinalização</t>
  </si>
  <si>
    <t>S1</t>
  </si>
  <si>
    <t>km</t>
  </si>
  <si>
    <t>C</t>
  </si>
  <si>
    <t>Relatório de Apoio na Análise da Monitoração da Sinalização Horizontal</t>
  </si>
  <si>
    <t>Relatório de Apoio na Análise da Monitoração da Sinalização Vertical</t>
  </si>
  <si>
    <t>Relatório de Apoio na Análise da Monitoração das Obras de Arte Especial</t>
  </si>
  <si>
    <t>Engenheiro Sênior - Obra de Arte Especial</t>
  </si>
  <si>
    <t>Relatório de Apoio na Análise da Monitoração dos Terraplenos e Estruturas de Contenção</t>
  </si>
  <si>
    <t>Engenheiro Sênior - Infraestrutura ou Obra de Arte Especial</t>
  </si>
  <si>
    <t>K</t>
  </si>
  <si>
    <t>Resumo do Contrato de Supervisão - Anual - LOTE1</t>
  </si>
  <si>
    <t>R$ Unitario</t>
  </si>
  <si>
    <t>ENSAIO DE MANCHA DE AREIA (MACROTEXTURA)</t>
  </si>
  <si>
    <t>Custos Gerenciais e Indiretos - LOTE 02</t>
  </si>
  <si>
    <t>RODOVIAS 
LOTE 02:</t>
  </si>
  <si>
    <t>* ADICIONADO 01 ENG.SÊNIOR PARA PONTE</t>
  </si>
  <si>
    <t>Resumo do Contrato de Supervisão - Anual - LOTE2</t>
  </si>
  <si>
    <t>BR-040/RJ (CONCER)
BR-116/RJ (CRT)
BR-101/RJ (FLUMINENSE)
BR-393/RJ (RODOVIA DO AÇO)
BR-101/RJ (ECOPONTE)</t>
  </si>
  <si>
    <t>Custos Gerenciais e Indiretos - LOTE 03</t>
  </si>
  <si>
    <t>RODOVIAS 
LOTE 03:</t>
  </si>
  <si>
    <t>Resumo do Contrato de Supervisão - Anual - LOTE3</t>
  </si>
  <si>
    <t>Custos Gerenciais e Indiretos - LOTE 04</t>
  </si>
  <si>
    <t>RODOVIAS 
LOTE 04:</t>
  </si>
  <si>
    <t>Resumo do Contrato de Supervisão - Anual - LOTE4</t>
  </si>
  <si>
    <t>Custos Gerenciais e Indiretos - LOTE 05</t>
  </si>
  <si>
    <t>RODOVIAS 
LOTE 05:</t>
  </si>
  <si>
    <t>Resumo do Contrato de Supervisão - Anual - LOTE 5</t>
  </si>
  <si>
    <t>Custos Gerenciais e Indiretos - LOTE 06</t>
  </si>
  <si>
    <t>RODOVIAS 
LOTE 06:</t>
  </si>
  <si>
    <t>BR-116/324/526/528 BA (VIA BAHIA)
BR-101ES (ECO 101)</t>
  </si>
  <si>
    <t>Resumo do Contrato de Supervisão - Anual - LOTE 06</t>
  </si>
  <si>
    <t>Custos Gerenciais e Indiretos - LOTE 07</t>
  </si>
  <si>
    <t>RODOVIAS 
LOTE 07:</t>
  </si>
  <si>
    <t>Resumo do Contrato de Supervisão - Anual - LOTE 07</t>
  </si>
  <si>
    <t>BR-381/MG (FERNÃO DIAS)
BR-153/262/MG (CONCEBRA)
BR-040/MG (VIA 040)</t>
  </si>
  <si>
    <t>BR-116/PR/SC (PLANALTO SUL)
BR-116/PR (REGIS BITTENCOURT)</t>
  </si>
  <si>
    <t>BR-050/GO/MG (MGO Rodovias)
BR-163/MS (MS VIA)
BR-163/MT (CRO)</t>
  </si>
  <si>
    <t xml:space="preserve">Avaliação EPS (Elementos de Proteção e Segurança) </t>
  </si>
  <si>
    <t>Cotação - ceppla - 25.05.2017</t>
  </si>
  <si>
    <t>Serviço de Monitoração de Retrorrefletividade  (sinalização vertical)</t>
  </si>
  <si>
    <t>Serviço de Monitoração de Retrorrefletividade  (sinalização horizontal)</t>
  </si>
  <si>
    <t>Valores de referência</t>
  </si>
  <si>
    <t xml:space="preserve">
BR-116/293/RS (ECO SUL)
BR-101/290/386/448/RS (RIS)</t>
  </si>
  <si>
    <t>1) Para as rodovias abaixo de 1.200km (exceto ponte):</t>
  </si>
  <si>
    <t>2) Para as rodovias acima de 1.200 km e abaixo de 2.200km:</t>
  </si>
  <si>
    <t>3) Para as rodovias acima de 2.200km :</t>
  </si>
  <si>
    <t>Engenheiro pleno</t>
  </si>
  <si>
    <t>equipamento</t>
  </si>
  <si>
    <t>Veículos (Confecção dos relatórios - Gestão do coordenador)</t>
  </si>
  <si>
    <t xml:space="preserve">Veículos  </t>
  </si>
  <si>
    <t>Levantamento deflectométrico (FWD) - 40%</t>
  </si>
  <si>
    <t>Levantamento do IRI - 100%</t>
  </si>
  <si>
    <t>Levantamento Visual Contínuo (LVC) - 40%</t>
  </si>
  <si>
    <t>Serviço de Monitoração e Retrorrefletividade - 30%</t>
  </si>
  <si>
    <t>Faixas de Rolamento</t>
  </si>
  <si>
    <t>Serviço de Monitoração e Retrorrefletividade - 45%</t>
  </si>
  <si>
    <t>Total
Diárias</t>
  </si>
  <si>
    <t>CONCESSIONÁRIAS</t>
  </si>
  <si>
    <t>TIPO</t>
  </si>
  <si>
    <r>
      <rPr>
        <b/>
        <sz val="8"/>
        <rFont val="Arial"/>
        <family val="2"/>
      </rPr>
      <t>PADRÃO SALARIAL
(abr-17)</t>
    </r>
  </si>
  <si>
    <t>MÊS</t>
  </si>
  <si>
    <t>fev-10</t>
  </si>
  <si>
    <t>ago-10</t>
  </si>
  <si>
    <t>jan-11</t>
  </si>
  <si>
    <t>jan-17</t>
  </si>
  <si>
    <t>fev-17</t>
  </si>
  <si>
    <t>abr-17</t>
  </si>
  <si>
    <t>IND</t>
  </si>
  <si>
    <t>TABELA DE PREÇOS DE CONSULTORIA DO DNIT</t>
  </si>
  <si>
    <t>Instrução de Serviço DG nº 03, de 07 de março de 2012.</t>
  </si>
  <si>
    <t>Última atualização: 16/05/2017</t>
  </si>
  <si>
    <t>CUSTO GERENCIAL</t>
  </si>
  <si>
    <t>R$ / KM</t>
  </si>
  <si>
    <t>ATUAL</t>
  </si>
  <si>
    <t>TAXAS</t>
  </si>
  <si>
    <t>(INCIDE SOBRE O ITEM PESSOAL)</t>
  </si>
  <si>
    <t>B - CUSTO ADMINISTRATIVO</t>
  </si>
  <si>
    <t>C - REMUNERAÇÃO DA EMPRESA</t>
  </si>
  <si>
    <t>(INCIDE SOBRE A SOMA DE TODOS OS ITENS E TAXAS A + B)</t>
  </si>
  <si>
    <t>D - DESPESAS FISCAIS/PIS/ISS/COFINS (SEM CSLL)</t>
  </si>
  <si>
    <t>(INCIDE SOBRE A SOMA DE TODOS OS ITENS E TAXAS A + B + C)</t>
  </si>
  <si>
    <r>
      <rPr>
        <b/>
        <vertAlign val="superscript"/>
        <sz val="9"/>
        <rFont val="Arial"/>
        <family val="2"/>
      </rPr>
      <t>A</t>
    </r>
    <r>
      <rPr>
        <b/>
        <sz val="9"/>
        <rFont val="Arial"/>
        <family val="2"/>
      </rPr>
      <t xml:space="preserve">1  </t>
    </r>
    <r>
      <rPr>
        <b/>
        <vertAlign val="superscript"/>
        <sz val="9"/>
        <rFont val="Arial"/>
        <family val="2"/>
      </rPr>
      <t>- ENCARGOS SOCIAIS  (MENSALISTA)</t>
    </r>
  </si>
  <si>
    <r>
      <rPr>
        <b/>
        <vertAlign val="superscript"/>
        <sz val="9"/>
        <rFont val="Arial"/>
        <family val="2"/>
      </rPr>
      <t>A</t>
    </r>
    <r>
      <rPr>
        <b/>
        <sz val="9"/>
        <rFont val="Arial"/>
        <family val="2"/>
      </rPr>
      <t xml:space="preserve">2  </t>
    </r>
    <r>
      <rPr>
        <b/>
        <vertAlign val="superscript"/>
        <sz val="9"/>
        <rFont val="Arial"/>
        <family val="2"/>
      </rPr>
      <t>- ENCARGOS SOCIAIS (CONSULTOR ESPECIAL - PJ)</t>
    </r>
  </si>
  <si>
    <t>OBSERVAÇÕES:</t>
  </si>
  <si>
    <t>1. Os valores acima mencionados estão em REAL/R$ (MOEDA VIGENTE).</t>
  </si>
  <si>
    <t>2. Os preços serão atualizados pelo Índice de Consultoria da Fundação Getúlio Vargas.</t>
  </si>
  <si>
    <t>3. A existência de salários mínimos regionais ou convenção coletiva de trabalho deve sempre ser observada para todas as categorias.</t>
  </si>
  <si>
    <t>4. Os valores para diárias serão os adotados para os servidores públicos federais civis.</t>
  </si>
  <si>
    <t>5. O percentual de ISSQN deverá ser calculado em conformidade às determinações preconizadas na Instrução de Serviço nº 12, de 28 de julho de 2010.</t>
  </si>
  <si>
    <t>6. Imprescindível destacar que a presente tabela de preços de consultoria consiste em um compilado de valores referenciais desenvolvidos para orçamentação de equipes de engenharia consultiva.</t>
  </si>
  <si>
    <t>No caso de previsão de equipes multidisciplinares, principalmente nos termos de referência para contratação de serviços  ambientais, deve-se atentar para os valores de referência destas categorias  profissionais estabelecidos em convenções coletivas ou previstos em legislações específicas, com intuito de impedir a ocorrência de sobrepreço nos valores adotados.</t>
  </si>
  <si>
    <t>Nestas  situações,  recomenda-se  ao  gestor  responsável  pela  elaboração  dos  termos  de  referência  a  adoção  dos  pisos  salariais  dessas  categorias  profissionais  como  referência  para  o  profissional  auxiliar  e  a  aplicação  de  padrões  salariais, equivalentes aos observados para os engenheiros, para definição dos demais níveis (júnior, pleno e sênior), conforme valores constantes das Tabelas de Preços de Consultoria do DNIT divulgadas a partir de julho de 2016.</t>
  </si>
  <si>
    <t>7. Os valores referenciais para veículos envolvem aluguel e combustível.</t>
  </si>
  <si>
    <t>8. A adoção dos novos percentuais de encargos sociais e custos administrativos da Tabela de Consultoria do DNIT, instituída por meio da Instrução de Serviço DG nº 03/2012, refere-se à crítica realizada pelo Tribunal de Contas da União em estudo realizado pelo IBEC/DNIT, constituindo-se em recomendação constante do Ofício nº 535/2011-TCU/SECOB-1 (Processo TC-002.546/2011-6).</t>
  </si>
  <si>
    <t>QUALIFICAÇÃO EXIGIDA PARA A EQUIPE</t>
  </si>
  <si>
    <t>- C - CONSULTOR ESPECIAL (Engenheiro ou Profissional com, no mínimo, Doutorado na área de interesse, e/ou Experiência Profissional &gt;= 15 anos)</t>
  </si>
  <si>
    <t>- P0 - COORDENADOR (Engenheiro ou Profissional - Experiência Profissional &gt;= 10 anos)</t>
  </si>
  <si>
    <t>- P1 - ENGENHEIRO/PROFISSIONAL SÊNIOR (Experiência Profissional  &gt;= 8 anos)</t>
  </si>
  <si>
    <t>- P2 - ENGENHEIRO/PROFISSIONAL PLENO (Experiência Profissional  &gt;= 5 anos)</t>
  </si>
  <si>
    <t>- P3 - ENGENHEIRO/PROFISSIONAL JÚNIOR (Experiência Profissional &gt;= 2 anos)</t>
  </si>
  <si>
    <t>- P4 - ENGENHEIRO/PROFISSIONAL AUXILIAR (Formação 3º Grau)</t>
  </si>
  <si>
    <t>- T0 - TÉCNICO ESPECIAL (2º Grau Completo - Experiência Profissional &gt;= 10 anos)</t>
  </si>
  <si>
    <t>- T1 - TÉCNICO SÊNIOR (2º Grau Completo - Experiência Profissional &gt;= 8 anos)</t>
  </si>
  <si>
    <t>- T2 - TÉCNICO PLENO (2º Grau Completo - Experiência Profissional &gt;= 5 anos)</t>
  </si>
  <si>
    <t>- T3 - TÉCNICO JÚNIOR (2º Grau Completo - Experiência Profissional &gt;= 2 anos)</t>
  </si>
  <si>
    <t>- T4 - TÉCNICO AUXILIAR (Formação - 2º Grau Completo)</t>
  </si>
  <si>
    <t>- A0 - CHEFE DE ESCRITÓRIO (2º Grau Completo - Experiência Profissional &gt;= 5 anos)</t>
  </si>
  <si>
    <t>Relatório de Apoio no Acompanhamento da Conservação, Manutenção, Operação e Obras</t>
  </si>
  <si>
    <t>Profissional Auxiliar (P4)</t>
  </si>
  <si>
    <t>Técnico Pleno (T2)</t>
  </si>
  <si>
    <t>Técnico Júnior (T3)</t>
  </si>
  <si>
    <t>Técnico Auxiliar (T4)</t>
  </si>
  <si>
    <t>Técnico Especial (T0)</t>
  </si>
  <si>
    <t>Técnico Sênior (T1)</t>
  </si>
  <si>
    <t>2.13</t>
  </si>
  <si>
    <t>Caminhonete - 71 a 115 cv</t>
  </si>
  <si>
    <t>IMPRESSÃO COLORIDA</t>
  </si>
  <si>
    <t>Preço 01</t>
  </si>
  <si>
    <t>Preço 02</t>
  </si>
  <si>
    <t>Preço 03</t>
  </si>
  <si>
    <t>Preço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</si>
</sst>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0.00\ &quot;km&quot;"/>
    <numFmt numFmtId="166" formatCode="_-* #,##0.00_-;\-* #,##0.00_-;_-* \-??_-;_-@_-"/>
    <numFmt numFmtId="167" formatCode="_(* #,##0.00_);_(* \(#,##0.00\);_(* \-??_);_(@_)"/>
    <numFmt numFmtId="168" formatCode="_-* #,##0.0000_-;\-* #,##0.0000_-;_-* &quot;-&quot;??_-;_-@_-"/>
    <numFmt numFmtId="169" formatCode="_-* #,##0.00000_-;\-* #,##0.00000_-;_-* &quot;-&quot;??_-;_-@_-"/>
    <numFmt numFmtId="170" formatCode="#,##0.0"/>
    <numFmt numFmtId="171" formatCode="#,##0_ ;\-#,##0\ "/>
    <numFmt numFmtId="172" formatCode="_-* #,##0.000_-;\-* #,##0.000_-;_-* &quot;-&quot;??_-;_-@_-"/>
    <numFmt numFmtId="173" formatCode="_(* #,##0.00_);_(* \(#,##0.00\);_(* &quot;-&quot;??_);_(@_)"/>
    <numFmt numFmtId="174" formatCode="0.0"/>
    <numFmt numFmtId="175" formatCode="0.000"/>
    <numFmt numFmtId="176" formatCode="0.00000"/>
    <numFmt numFmtId="177" formatCode="0.000000000"/>
    <numFmt numFmtId="178" formatCode="#,##0.00_ ;\-#,##0.00\ "/>
  </numFmts>
  <fonts count="6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Arial"/>
      <family val="2"/>
    </font>
    <font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7"/>
      <color rgb="FF000000"/>
      <name val="Verdana"/>
      <family val="2"/>
    </font>
    <font>
      <sz val="7"/>
      <color rgb="FF000000"/>
      <name val="Verdana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8"/>
      <color theme="1"/>
      <name val="Calibri"/>
      <family val="2"/>
      <scheme val="minor"/>
    </font>
    <font>
      <sz val="9.9"/>
      <color rgb="FF3B3B3B"/>
      <name val="Ecofont Vera Sans"/>
      <family val="2"/>
    </font>
    <font>
      <sz val="9.9"/>
      <name val="Ecofont Vera Sans"/>
      <family val="2"/>
    </font>
    <font>
      <b/>
      <sz val="8"/>
      <name val="Arial"/>
      <family val="2"/>
    </font>
    <font>
      <sz val="5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indexed="8"/>
      <name val="Calibri"/>
      <family val="2"/>
    </font>
    <font>
      <b/>
      <sz val="10"/>
      <color indexed="9"/>
      <name val="Arial"/>
      <family val="2"/>
    </font>
    <font>
      <sz val="10"/>
      <color theme="5"/>
      <name val="Arial"/>
      <family val="2"/>
    </font>
    <font>
      <sz val="10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name val="Arial"/>
      <family val="2"/>
    </font>
    <font>
      <b/>
      <i/>
      <sz val="11"/>
      <color theme="1"/>
      <name val="Calibri"/>
      <family val="2"/>
      <scheme val="minor"/>
    </font>
    <font>
      <b/>
      <sz val="14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theme="0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0"/>
        <bgColor indexed="23"/>
      </patternFill>
    </fill>
  </fills>
  <borders count="2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/>
    <xf numFmtId="43" fontId="15" fillId="0" borderId="0" applyFill="0" applyBorder="0" applyAlignment="0" applyProtection="0"/>
    <xf numFmtId="9" fontId="15" fillId="0" borderId="0" applyFill="0" applyBorder="0" applyAlignment="0" applyProtection="0"/>
    <xf numFmtId="0" fontId="15" fillId="0" borderId="0"/>
    <xf numFmtId="0" fontId="15" fillId="0" borderId="0" applyFont="0" applyFill="0" applyBorder="0" applyAlignment="0" applyProtection="0"/>
  </cellStyleXfs>
  <cellXfs count="852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 applyBorder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2" fontId="10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2" fontId="10" fillId="0" borderId="5" xfId="1" applyNumberFormat="1" applyFont="1" applyBorder="1" applyAlignment="1" applyProtection="1">
      <alignment horizontal="center" vertical="center"/>
      <protection locked="0"/>
    </xf>
    <xf numFmtId="44" fontId="6" fillId="0" borderId="0" xfId="2" applyFont="1" applyProtection="1"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0" fillId="0" borderId="5" xfId="0" applyBorder="1"/>
    <xf numFmtId="0" fontId="4" fillId="0" borderId="0" xfId="4"/>
    <xf numFmtId="0" fontId="4" fillId="0" borderId="0" xfId="4" applyBorder="1"/>
    <xf numFmtId="0" fontId="20" fillId="0" borderId="0" xfId="4" applyFont="1" applyBorder="1" applyAlignment="1">
      <alignment horizontal="right"/>
    </xf>
    <xf numFmtId="165" fontId="21" fillId="0" borderId="0" xfId="4" applyNumberFormat="1" applyFont="1" applyFill="1" applyBorder="1" applyAlignment="1">
      <alignment horizontal="center" vertical="center"/>
    </xf>
    <xf numFmtId="0" fontId="22" fillId="0" borderId="0" xfId="4" applyFont="1" applyBorder="1" applyAlignment="1">
      <alignment horizontal="right"/>
    </xf>
    <xf numFmtId="0" fontId="5" fillId="0" borderId="26" xfId="4" applyFont="1" applyBorder="1" applyAlignment="1">
      <alignment vertical="center"/>
    </xf>
    <xf numFmtId="43" fontId="5" fillId="0" borderId="26" xfId="4" applyNumberFormat="1" applyFont="1" applyBorder="1" applyAlignment="1">
      <alignment vertical="center"/>
    </xf>
    <xf numFmtId="0" fontId="5" fillId="0" borderId="26" xfId="4" applyFont="1" applyBorder="1" applyAlignment="1">
      <alignment horizontal="center" vertical="center"/>
    </xf>
    <xf numFmtId="0" fontId="5" fillId="0" borderId="42" xfId="4" applyFont="1" applyBorder="1" applyAlignment="1">
      <alignment vertical="center"/>
    </xf>
    <xf numFmtId="0" fontId="5" fillId="0" borderId="42" xfId="4" applyFont="1" applyBorder="1" applyAlignment="1">
      <alignment horizontal="center" vertical="center"/>
    </xf>
    <xf numFmtId="166" fontId="5" fillId="2" borderId="0" xfId="5" applyFont="1" applyFill="1" applyBorder="1" applyAlignment="1" applyProtection="1">
      <alignment horizontal="center" vertical="center"/>
    </xf>
    <xf numFmtId="43" fontId="23" fillId="0" borderId="0" xfId="1" applyFont="1" applyBorder="1" applyAlignment="1">
      <alignment horizontal="right" vertical="center"/>
    </xf>
    <xf numFmtId="0" fontId="19" fillId="0" borderId="43" xfId="4" applyFont="1" applyFill="1" applyBorder="1" applyAlignment="1">
      <alignment horizontal="center" vertical="center"/>
    </xf>
    <xf numFmtId="0" fontId="19" fillId="0" borderId="44" xfId="4" applyFont="1" applyFill="1" applyBorder="1" applyAlignment="1">
      <alignment horizontal="center" vertical="center"/>
    </xf>
    <xf numFmtId="0" fontId="19" fillId="0" borderId="45" xfId="4" applyFont="1" applyFill="1" applyBorder="1" applyAlignment="1">
      <alignment horizontal="center" vertical="center"/>
    </xf>
    <xf numFmtId="0" fontId="19" fillId="0" borderId="45" xfId="4" applyFont="1" applyFill="1" applyBorder="1" applyAlignment="1">
      <alignment horizontal="center" vertical="center" wrapText="1"/>
    </xf>
    <xf numFmtId="49" fontId="19" fillId="0" borderId="46" xfId="4" applyNumberFormat="1" applyFont="1" applyFill="1" applyBorder="1" applyAlignment="1">
      <alignment horizontal="center" vertical="center" wrapText="1"/>
    </xf>
    <xf numFmtId="166" fontId="5" fillId="2" borderId="47" xfId="5" applyFont="1" applyFill="1" applyBorder="1" applyAlignment="1" applyProtection="1">
      <alignment horizontal="center" vertical="center"/>
    </xf>
    <xf numFmtId="0" fontId="24" fillId="0" borderId="0" xfId="4" applyFont="1" applyBorder="1" applyAlignment="1">
      <alignment horizontal="center" vertical="center"/>
    </xf>
    <xf numFmtId="4" fontId="4" fillId="0" borderId="0" xfId="1" applyNumberFormat="1" applyFont="1" applyBorder="1" applyAlignment="1">
      <alignment horizontal="right" vertical="top"/>
    </xf>
    <xf numFmtId="0" fontId="19" fillId="0" borderId="48" xfId="4" applyFont="1" applyBorder="1" applyAlignment="1">
      <alignment horizontal="center" vertical="center"/>
    </xf>
    <xf numFmtId="0" fontId="19" fillId="0" borderId="49" xfId="4" applyFont="1" applyBorder="1" applyAlignment="1">
      <alignment horizontal="center" vertical="center"/>
    </xf>
    <xf numFmtId="0" fontId="19" fillId="0" borderId="50" xfId="4" applyFont="1" applyBorder="1" applyAlignment="1">
      <alignment vertical="center"/>
    </xf>
    <xf numFmtId="0" fontId="19" fillId="0" borderId="50" xfId="4" applyFont="1" applyBorder="1" applyAlignment="1">
      <alignment horizontal="center" vertical="center"/>
    </xf>
    <xf numFmtId="43" fontId="19" fillId="0" borderId="51" xfId="4" applyNumberFormat="1" applyFont="1" applyBorder="1" applyAlignment="1">
      <alignment vertical="center"/>
    </xf>
    <xf numFmtId="43" fontId="25" fillId="0" borderId="0" xfId="1" applyFont="1" applyBorder="1" applyAlignment="1">
      <alignment horizontal="center" vertical="center"/>
    </xf>
    <xf numFmtId="0" fontId="19" fillId="0" borderId="50" xfId="4" applyFont="1" applyBorder="1" applyAlignment="1">
      <alignment horizontal="left" vertical="center"/>
    </xf>
    <xf numFmtId="166" fontId="15" fillId="0" borderId="50" xfId="5" applyFont="1" applyFill="1" applyBorder="1" applyAlignment="1" applyProtection="1">
      <alignment horizontal="center" vertical="center"/>
    </xf>
    <xf numFmtId="0" fontId="16" fillId="0" borderId="50" xfId="4" applyFont="1" applyFill="1" applyBorder="1" applyAlignment="1">
      <alignment vertical="center"/>
    </xf>
    <xf numFmtId="43" fontId="4" fillId="0" borderId="0" xfId="1" applyFont="1" applyBorder="1"/>
    <xf numFmtId="0" fontId="5" fillId="0" borderId="48" xfId="4" applyFont="1" applyBorder="1" applyAlignment="1">
      <alignment horizontal="center" vertical="center"/>
    </xf>
    <xf numFmtId="0" fontId="5" fillId="0" borderId="49" xfId="4" applyFont="1" applyBorder="1" applyAlignment="1">
      <alignment horizontal="center" vertical="center"/>
    </xf>
    <xf numFmtId="0" fontId="5" fillId="0" borderId="50" xfId="4" applyFont="1" applyBorder="1" applyAlignment="1">
      <alignment horizontal="left" vertical="center"/>
    </xf>
    <xf numFmtId="167" fontId="5" fillId="0" borderId="51" xfId="4" applyNumberFormat="1" applyFont="1" applyBorder="1" applyAlignment="1">
      <alignment vertical="center"/>
    </xf>
    <xf numFmtId="43" fontId="4" fillId="0" borderId="0" xfId="4" applyNumberFormat="1" applyBorder="1"/>
    <xf numFmtId="0" fontId="19" fillId="0" borderId="50" xfId="4" applyFont="1" applyFill="1" applyBorder="1" applyAlignment="1">
      <alignment vertical="center"/>
    </xf>
    <xf numFmtId="0" fontId="5" fillId="0" borderId="50" xfId="4" applyFont="1" applyFill="1" applyBorder="1" applyAlignment="1">
      <alignment horizontal="center" vertical="center"/>
    </xf>
    <xf numFmtId="167" fontId="19" fillId="0" borderId="51" xfId="4" applyNumberFormat="1" applyFont="1" applyBorder="1" applyAlignment="1">
      <alignment vertical="center"/>
    </xf>
    <xf numFmtId="0" fontId="5" fillId="0" borderId="50" xfId="4" applyFont="1" applyFill="1" applyBorder="1" applyAlignment="1">
      <alignment vertical="center"/>
    </xf>
    <xf numFmtId="0" fontId="19" fillId="0" borderId="50" xfId="4" applyFont="1" applyBorder="1" applyAlignment="1">
      <alignment horizontal="right" vertical="center"/>
    </xf>
    <xf numFmtId="43" fontId="15" fillId="0" borderId="50" xfId="6" applyFill="1" applyBorder="1" applyAlignment="1">
      <alignment horizontal="center" vertical="center"/>
    </xf>
    <xf numFmtId="43" fontId="16" fillId="0" borderId="50" xfId="6" applyFont="1" applyFill="1" applyBorder="1" applyAlignment="1">
      <alignment horizontal="center" vertical="center"/>
    </xf>
    <xf numFmtId="166" fontId="16" fillId="0" borderId="50" xfId="5" applyFont="1" applyFill="1" applyBorder="1" applyAlignment="1" applyProtection="1">
      <alignment horizontal="center" vertical="center"/>
    </xf>
    <xf numFmtId="0" fontId="4" fillId="0" borderId="0" xfId="4" applyFont="1"/>
    <xf numFmtId="0" fontId="4" fillId="0" borderId="0" xfId="4" applyFont="1" applyBorder="1"/>
    <xf numFmtId="0" fontId="26" fillId="0" borderId="50" xfId="4" applyFont="1" applyBorder="1" applyAlignment="1">
      <alignment vertical="center"/>
    </xf>
    <xf numFmtId="4" fontId="15" fillId="0" borderId="50" xfId="6" applyNumberFormat="1" applyFont="1" applyFill="1" applyBorder="1" applyAlignment="1">
      <alignment horizontal="right" vertical="center"/>
    </xf>
    <xf numFmtId="4" fontId="16" fillId="0" borderId="50" xfId="6" applyNumberFormat="1" applyFont="1" applyFill="1" applyBorder="1" applyAlignment="1">
      <alignment horizontal="right" vertical="center"/>
    </xf>
    <xf numFmtId="43" fontId="4" fillId="0" borderId="0" xfId="4" applyNumberFormat="1"/>
    <xf numFmtId="0" fontId="15" fillId="0" borderId="50" xfId="4" applyFont="1" applyFill="1" applyBorder="1" applyAlignment="1">
      <alignment vertical="center"/>
    </xf>
    <xf numFmtId="168" fontId="4" fillId="9" borderId="0" xfId="4" applyNumberFormat="1" applyFill="1" applyBorder="1"/>
    <xf numFmtId="0" fontId="5" fillId="0" borderId="50" xfId="4" applyFont="1" applyBorder="1" applyAlignment="1">
      <alignment vertical="center"/>
    </xf>
    <xf numFmtId="43" fontId="15" fillId="0" borderId="50" xfId="6" applyFont="1" applyFill="1" applyBorder="1" applyAlignment="1">
      <alignment horizontal="center" vertical="center"/>
    </xf>
    <xf numFmtId="168" fontId="4" fillId="0" borderId="0" xfId="4" applyNumberFormat="1" applyBorder="1"/>
    <xf numFmtId="0" fontId="16" fillId="0" borderId="50" xfId="4" applyFont="1" applyBorder="1" applyAlignment="1">
      <alignment vertical="center"/>
    </xf>
    <xf numFmtId="0" fontId="15" fillId="0" borderId="50" xfId="4" applyFont="1" applyFill="1" applyBorder="1" applyAlignment="1">
      <alignment horizontal="center" vertical="center"/>
    </xf>
    <xf numFmtId="2" fontId="16" fillId="0" borderId="50" xfId="6" applyNumberFormat="1" applyFont="1" applyFill="1" applyBorder="1" applyAlignment="1">
      <alignment horizontal="right" vertical="center"/>
    </xf>
    <xf numFmtId="0" fontId="5" fillId="10" borderId="52" xfId="4" applyFont="1" applyFill="1" applyBorder="1" applyAlignment="1">
      <alignment horizontal="center" vertical="center"/>
    </xf>
    <xf numFmtId="0" fontId="5" fillId="10" borderId="53" xfId="4" applyFont="1" applyFill="1" applyBorder="1" applyAlignment="1">
      <alignment horizontal="center" vertical="center"/>
    </xf>
    <xf numFmtId="167" fontId="19" fillId="10" borderId="55" xfId="4" applyNumberFormat="1" applyFont="1" applyFill="1" applyBorder="1" applyAlignment="1">
      <alignment vertical="center"/>
    </xf>
    <xf numFmtId="43" fontId="4" fillId="0" borderId="0" xfId="1" applyFont="1"/>
    <xf numFmtId="0" fontId="24" fillId="0" borderId="0" xfId="4" applyFont="1" applyBorder="1" applyAlignment="1">
      <alignment horizontal="right"/>
    </xf>
    <xf numFmtId="43" fontId="16" fillId="0" borderId="0" xfId="6" applyNumberFormat="1" applyFont="1"/>
    <xf numFmtId="43" fontId="24" fillId="0" borderId="0" xfId="4" applyNumberFormat="1" applyFont="1" applyBorder="1" applyAlignment="1">
      <alignment horizontal="right"/>
    </xf>
    <xf numFmtId="0" fontId="5" fillId="0" borderId="0" xfId="4" applyFont="1" applyFill="1" applyAlignment="1">
      <alignment vertical="center"/>
    </xf>
    <xf numFmtId="0" fontId="5" fillId="0" borderId="0" xfId="4" applyFont="1" applyFill="1" applyAlignment="1">
      <alignment horizontal="center" vertical="center"/>
    </xf>
    <xf numFmtId="0" fontId="4" fillId="0" borderId="0" xfId="4" applyAlignment="1">
      <alignment horizontal="center"/>
    </xf>
    <xf numFmtId="0" fontId="27" fillId="0" borderId="0" xfId="8" applyFont="1" applyBorder="1" applyAlignment="1">
      <alignment horizontal="center"/>
    </xf>
    <xf numFmtId="0" fontId="28" fillId="0" borderId="0" xfId="8" applyFont="1" applyBorder="1" applyAlignment="1">
      <alignment horizontal="center"/>
    </xf>
    <xf numFmtId="0" fontId="27" fillId="0" borderId="0" xfId="8" applyFont="1" applyBorder="1" applyAlignment="1"/>
    <xf numFmtId="0" fontId="28" fillId="0" borderId="59" xfId="8" applyFont="1" applyBorder="1" applyAlignment="1">
      <alignment horizontal="center"/>
    </xf>
    <xf numFmtId="0" fontId="4" fillId="0" borderId="58" xfId="4" applyBorder="1" applyAlignment="1">
      <alignment horizontal="center"/>
    </xf>
    <xf numFmtId="0" fontId="28" fillId="0" borderId="60" xfId="8" applyFont="1" applyBorder="1" applyAlignment="1">
      <alignment horizontal="center"/>
    </xf>
    <xf numFmtId="0" fontId="28" fillId="0" borderId="61" xfId="8" applyFont="1" applyBorder="1" applyAlignment="1">
      <alignment horizontal="center"/>
    </xf>
    <xf numFmtId="43" fontId="29" fillId="0" borderId="64" xfId="8" applyNumberFormat="1" applyFont="1" applyBorder="1" applyAlignment="1">
      <alignment vertical="center"/>
    </xf>
    <xf numFmtId="0" fontId="4" fillId="0" borderId="63" xfId="4" applyBorder="1" applyAlignment="1">
      <alignment horizontal="center"/>
    </xf>
    <xf numFmtId="43" fontId="27" fillId="0" borderId="65" xfId="8" applyNumberFormat="1" applyFont="1" applyFill="1" applyBorder="1" applyAlignment="1">
      <alignment horizontal="center"/>
    </xf>
    <xf numFmtId="43" fontId="15" fillId="0" borderId="66" xfId="6" applyFill="1" applyBorder="1" applyAlignment="1"/>
    <xf numFmtId="43" fontId="15" fillId="0" borderId="65" xfId="6" applyFill="1" applyBorder="1" applyAlignment="1">
      <alignment horizontal="center"/>
    </xf>
    <xf numFmtId="0" fontId="27" fillId="0" borderId="64" xfId="8" applyFont="1" applyBorder="1" applyAlignment="1">
      <alignment vertical="center"/>
    </xf>
    <xf numFmtId="0" fontId="27" fillId="0" borderId="65" xfId="8" applyFont="1" applyFill="1" applyBorder="1" applyAlignment="1">
      <alignment horizontal="center"/>
    </xf>
    <xf numFmtId="0" fontId="28" fillId="0" borderId="65" xfId="8" applyFont="1" applyFill="1" applyBorder="1" applyAlignment="1">
      <alignment horizontal="center"/>
    </xf>
    <xf numFmtId="43" fontId="16" fillId="0" borderId="66" xfId="6" applyFont="1" applyFill="1" applyBorder="1" applyAlignment="1"/>
    <xf numFmtId="43" fontId="16" fillId="0" borderId="66" xfId="6" applyFont="1" applyFill="1" applyBorder="1" applyAlignment="1">
      <alignment horizontal="center"/>
    </xf>
    <xf numFmtId="0" fontId="27" fillId="0" borderId="64" xfId="8" applyFont="1" applyBorder="1" applyAlignment="1">
      <alignment horizontal="left" vertical="center"/>
    </xf>
    <xf numFmtId="0" fontId="28" fillId="3" borderId="64" xfId="8" applyFont="1" applyFill="1" applyBorder="1" applyAlignment="1">
      <alignment horizontal="left" vertical="center"/>
    </xf>
    <xf numFmtId="0" fontId="4" fillId="3" borderId="63" xfId="4" applyFill="1" applyBorder="1" applyAlignment="1">
      <alignment horizontal="center"/>
    </xf>
    <xf numFmtId="0" fontId="28" fillId="3" borderId="65" xfId="8" applyFont="1" applyFill="1" applyBorder="1" applyAlignment="1">
      <alignment horizontal="center"/>
    </xf>
    <xf numFmtId="169" fontId="16" fillId="3" borderId="66" xfId="6" applyNumberFormat="1" applyFont="1" applyFill="1" applyBorder="1" applyAlignment="1"/>
    <xf numFmtId="0" fontId="27" fillId="0" borderId="69" xfId="8" applyFont="1" applyBorder="1" applyAlignment="1">
      <alignment vertical="center"/>
    </xf>
    <xf numFmtId="0" fontId="4" fillId="0" borderId="68" xfId="4" applyBorder="1" applyAlignment="1">
      <alignment horizontal="center"/>
    </xf>
    <xf numFmtId="0" fontId="27" fillId="0" borderId="70" xfId="8" applyFont="1" applyBorder="1" applyAlignment="1">
      <alignment horizontal="center"/>
    </xf>
    <xf numFmtId="43" fontId="15" fillId="0" borderId="71" xfId="6" applyBorder="1" applyAlignment="1"/>
    <xf numFmtId="0" fontId="15" fillId="0" borderId="0" xfId="8"/>
    <xf numFmtId="0" fontId="14" fillId="0" borderId="0" xfId="8" applyFont="1" applyAlignment="1">
      <alignment horizontal="center"/>
    </xf>
    <xf numFmtId="0" fontId="30" fillId="0" borderId="0" xfId="8" applyFont="1" applyAlignment="1">
      <alignment horizontal="center"/>
    </xf>
    <xf numFmtId="0" fontId="16" fillId="0" borderId="0" xfId="8" applyFont="1" applyAlignment="1">
      <alignment horizontal="center"/>
    </xf>
    <xf numFmtId="0" fontId="30" fillId="0" borderId="0" xfId="8" applyFont="1" applyAlignment="1">
      <alignment horizontal="left"/>
    </xf>
    <xf numFmtId="170" fontId="16" fillId="0" borderId="0" xfId="8" applyNumberFormat="1" applyFont="1" applyAlignment="1">
      <alignment horizontal="right"/>
    </xf>
    <xf numFmtId="0" fontId="16" fillId="0" borderId="0" xfId="8" applyFont="1"/>
    <xf numFmtId="0" fontId="16" fillId="0" borderId="0" xfId="8" applyFont="1" applyAlignment="1">
      <alignment horizontal="left"/>
    </xf>
    <xf numFmtId="17" fontId="16" fillId="0" borderId="0" xfId="8" applyNumberFormat="1" applyFont="1"/>
    <xf numFmtId="0" fontId="16" fillId="0" borderId="5" xfId="8" applyFont="1" applyBorder="1" applyAlignment="1">
      <alignment horizontal="center"/>
    </xf>
    <xf numFmtId="168" fontId="15" fillId="0" borderId="5" xfId="1" applyNumberFormat="1" applyFont="1" applyBorder="1"/>
    <xf numFmtId="0" fontId="16" fillId="0" borderId="5" xfId="8" applyFont="1" applyBorder="1"/>
    <xf numFmtId="0" fontId="15" fillId="0" borderId="5" xfId="8" applyBorder="1"/>
    <xf numFmtId="0" fontId="15" fillId="0" borderId="0" xfId="8" applyAlignment="1">
      <alignment horizontal="center"/>
    </xf>
    <xf numFmtId="0" fontId="29" fillId="0" borderId="0" xfId="8" applyFont="1" applyAlignment="1">
      <alignment horizontal="center"/>
    </xf>
    <xf numFmtId="0" fontId="15" fillId="0" borderId="5" xfId="8" applyBorder="1" applyAlignment="1">
      <alignment horizontal="center"/>
    </xf>
    <xf numFmtId="171" fontId="15" fillId="0" borderId="5" xfId="8" applyNumberFormat="1" applyFont="1" applyBorder="1" applyAlignment="1">
      <alignment horizontal="center"/>
    </xf>
    <xf numFmtId="43" fontId="15" fillId="11" borderId="5" xfId="1" applyFont="1" applyFill="1" applyBorder="1"/>
    <xf numFmtId="43" fontId="15" fillId="0" borderId="5" xfId="1" applyFont="1" applyBorder="1"/>
    <xf numFmtId="0" fontId="15" fillId="11" borderId="5" xfId="8" applyFill="1" applyBorder="1"/>
    <xf numFmtId="0" fontId="15" fillId="0" borderId="5" xfId="8" applyFill="1" applyBorder="1"/>
    <xf numFmtId="0" fontId="15" fillId="0" borderId="5" xfId="8" applyFill="1" applyBorder="1" applyAlignment="1">
      <alignment horizontal="center"/>
    </xf>
    <xf numFmtId="43" fontId="15" fillId="0" borderId="5" xfId="1" applyFont="1" applyFill="1" applyBorder="1"/>
    <xf numFmtId="0" fontId="15" fillId="0" borderId="28" xfId="8" applyFill="1" applyBorder="1" applyAlignment="1">
      <alignment horizontal="center"/>
    </xf>
    <xf numFmtId="0" fontId="15" fillId="0" borderId="0" xfId="8" applyFill="1" applyBorder="1"/>
    <xf numFmtId="0" fontId="15" fillId="0" borderId="0" xfId="8" applyBorder="1" applyAlignment="1">
      <alignment horizontal="center"/>
    </xf>
    <xf numFmtId="171" fontId="15" fillId="0" borderId="0" xfId="8" applyNumberFormat="1" applyFont="1" applyBorder="1" applyAlignment="1">
      <alignment horizontal="center"/>
    </xf>
    <xf numFmtId="43" fontId="15" fillId="0" borderId="0" xfId="1" applyFont="1" applyFill="1" applyBorder="1"/>
    <xf numFmtId="43" fontId="15" fillId="0" borderId="27" xfId="1" applyFont="1" applyFill="1" applyBorder="1"/>
    <xf numFmtId="0" fontId="15" fillId="0" borderId="28" xfId="8" applyBorder="1"/>
    <xf numFmtId="0" fontId="15" fillId="0" borderId="0" xfId="8" applyBorder="1"/>
    <xf numFmtId="0" fontId="15" fillId="0" borderId="27" xfId="8" applyBorder="1"/>
    <xf numFmtId="0" fontId="16" fillId="0" borderId="5" xfId="8" applyFont="1" applyFill="1" applyBorder="1" applyAlignment="1">
      <alignment horizontal="center"/>
    </xf>
    <xf numFmtId="43" fontId="16" fillId="11" borderId="5" xfId="1" applyFont="1" applyFill="1" applyBorder="1"/>
    <xf numFmtId="0" fontId="16" fillId="0" borderId="5" xfId="8" applyFont="1" applyFill="1" applyBorder="1"/>
    <xf numFmtId="43" fontId="16" fillId="11" borderId="19" xfId="1" applyFont="1" applyFill="1" applyBorder="1"/>
    <xf numFmtId="0" fontId="15" fillId="0" borderId="16" xfId="8" applyFill="1" applyBorder="1" applyAlignment="1">
      <alignment horizontal="center"/>
    </xf>
    <xf numFmtId="0" fontId="15" fillId="0" borderId="72" xfId="8" applyFill="1" applyBorder="1"/>
    <xf numFmtId="0" fontId="15" fillId="0" borderId="19" xfId="8" applyFill="1" applyBorder="1"/>
    <xf numFmtId="43" fontId="16" fillId="0" borderId="5" xfId="1" applyFont="1" applyFill="1" applyBorder="1"/>
    <xf numFmtId="0" fontId="31" fillId="0" borderId="0" xfId="8" applyFont="1" applyAlignment="1">
      <alignment horizontal="center"/>
    </xf>
    <xf numFmtId="172" fontId="15" fillId="4" borderId="5" xfId="1" applyNumberFormat="1" applyFont="1" applyFill="1" applyBorder="1"/>
    <xf numFmtId="43" fontId="15" fillId="4" borderId="5" xfId="1" applyFont="1" applyFill="1" applyBorder="1"/>
    <xf numFmtId="0" fontId="15" fillId="0" borderId="5" xfId="8" applyFont="1" applyFill="1" applyBorder="1" applyAlignment="1">
      <alignment horizontal="center"/>
    </xf>
    <xf numFmtId="3" fontId="15" fillId="0" borderId="5" xfId="8" applyNumberFormat="1" applyFont="1" applyFill="1" applyBorder="1" applyAlignment="1">
      <alignment horizontal="center"/>
    </xf>
    <xf numFmtId="0" fontId="15" fillId="0" borderId="16" xfId="8" applyFill="1" applyBorder="1"/>
    <xf numFmtId="43" fontId="15" fillId="11" borderId="19" xfId="1" applyFont="1" applyFill="1" applyBorder="1"/>
    <xf numFmtId="0" fontId="15" fillId="0" borderId="72" xfId="8" applyFill="1" applyBorder="1" applyAlignment="1">
      <alignment horizontal="center"/>
    </xf>
    <xf numFmtId="3" fontId="15" fillId="0" borderId="72" xfId="8" applyNumberFormat="1" applyFont="1" applyFill="1" applyBorder="1" applyAlignment="1">
      <alignment horizontal="center"/>
    </xf>
    <xf numFmtId="43" fontId="15" fillId="0" borderId="19" xfId="1" applyFont="1" applyFill="1" applyBorder="1"/>
    <xf numFmtId="43" fontId="15" fillId="0" borderId="0" xfId="1" applyFont="1"/>
    <xf numFmtId="4" fontId="16" fillId="11" borderId="5" xfId="8" applyNumberFormat="1" applyFont="1" applyFill="1" applyBorder="1"/>
    <xf numFmtId="43" fontId="15" fillId="0" borderId="0" xfId="8" applyNumberFormat="1"/>
    <xf numFmtId="0" fontId="15" fillId="11" borderId="19" xfId="8" applyFill="1" applyBorder="1"/>
    <xf numFmtId="43" fontId="16" fillId="11" borderId="5" xfId="8" applyNumberFormat="1" applyFont="1" applyFill="1" applyBorder="1"/>
    <xf numFmtId="4" fontId="16" fillId="11" borderId="19" xfId="8" applyNumberFormat="1" applyFont="1" applyFill="1" applyBorder="1"/>
    <xf numFmtId="0" fontId="16" fillId="11" borderId="19" xfId="8" applyFont="1" applyFill="1" applyBorder="1"/>
    <xf numFmtId="0" fontId="15" fillId="0" borderId="16" xfId="8" applyBorder="1"/>
    <xf numFmtId="0" fontId="15" fillId="0" borderId="72" xfId="8" applyBorder="1"/>
    <xf numFmtId="4" fontId="16" fillId="0" borderId="0" xfId="8" applyNumberFormat="1" applyFont="1"/>
    <xf numFmtId="43" fontId="15" fillId="12" borderId="5" xfId="1" applyFont="1" applyFill="1" applyBorder="1"/>
    <xf numFmtId="43" fontId="15" fillId="0" borderId="18" xfId="1" applyFont="1" applyBorder="1"/>
    <xf numFmtId="43" fontId="15" fillId="11" borderId="21" xfId="1" applyFont="1" applyFill="1" applyBorder="1"/>
    <xf numFmtId="43" fontId="14" fillId="0" borderId="5" xfId="8" applyNumberFormat="1" applyFont="1" applyBorder="1"/>
    <xf numFmtId="0" fontId="15" fillId="13" borderId="0" xfId="8" applyFill="1"/>
    <xf numFmtId="0" fontId="16" fillId="13" borderId="0" xfId="8" applyFont="1" applyFill="1"/>
    <xf numFmtId="173" fontId="1" fillId="13" borderId="0" xfId="9" applyNumberFormat="1" applyFont="1" applyFill="1"/>
    <xf numFmtId="0" fontId="15" fillId="13" borderId="0" xfId="8" applyFill="1" applyAlignment="1">
      <alignment vertical="center"/>
    </xf>
    <xf numFmtId="0" fontId="16" fillId="13" borderId="0" xfId="8" applyFont="1" applyFill="1" applyAlignment="1">
      <alignment vertical="center"/>
    </xf>
    <xf numFmtId="0" fontId="15" fillId="0" borderId="0" xfId="8" applyAlignment="1">
      <alignment vertical="center"/>
    </xf>
    <xf numFmtId="0" fontId="15" fillId="13" borderId="16" xfId="8" applyFill="1" applyBorder="1" applyAlignment="1">
      <alignment horizontal="center" vertical="center"/>
    </xf>
    <xf numFmtId="0" fontId="15" fillId="13" borderId="5" xfId="8" applyFill="1" applyBorder="1" applyAlignment="1">
      <alignment horizontal="center"/>
    </xf>
    <xf numFmtId="0" fontId="15" fillId="13" borderId="5" xfId="8" applyFill="1" applyBorder="1" applyAlignment="1">
      <alignment horizontal="center" vertical="center"/>
    </xf>
    <xf numFmtId="43" fontId="15" fillId="13" borderId="5" xfId="1" applyFont="1" applyFill="1" applyBorder="1" applyAlignment="1">
      <alignment horizontal="center" vertical="center"/>
    </xf>
    <xf numFmtId="43" fontId="15" fillId="13" borderId="5" xfId="1" applyFont="1" applyFill="1" applyBorder="1" applyAlignment="1">
      <alignment horizontal="center"/>
    </xf>
    <xf numFmtId="0" fontId="15" fillId="13" borderId="0" xfId="8" applyFill="1" applyBorder="1" applyAlignment="1">
      <alignment horizontal="center"/>
    </xf>
    <xf numFmtId="43" fontId="15" fillId="13" borderId="0" xfId="1" applyFont="1" applyFill="1" applyBorder="1" applyAlignment="1">
      <alignment horizontal="center"/>
    </xf>
    <xf numFmtId="43" fontId="15" fillId="13" borderId="72" xfId="1" applyFont="1" applyFill="1" applyBorder="1" applyAlignment="1">
      <alignment horizontal="center"/>
    </xf>
    <xf numFmtId="43" fontId="15" fillId="13" borderId="0" xfId="1" applyFont="1" applyFill="1" applyAlignment="1">
      <alignment horizontal="center"/>
    </xf>
    <xf numFmtId="43" fontId="15" fillId="13" borderId="5" xfId="1" applyFont="1" applyFill="1" applyBorder="1"/>
    <xf numFmtId="0" fontId="16" fillId="13" borderId="5" xfId="8" applyFont="1" applyFill="1" applyBorder="1" applyAlignment="1">
      <alignment horizontal="center"/>
    </xf>
    <xf numFmtId="2" fontId="15" fillId="13" borderId="5" xfId="8" applyNumberFormat="1" applyFill="1" applyBorder="1" applyAlignment="1">
      <alignment horizontal="center"/>
    </xf>
    <xf numFmtId="0" fontId="15" fillId="13" borderId="16" xfId="8" applyFill="1" applyBorder="1" applyAlignment="1">
      <alignment horizontal="center"/>
    </xf>
    <xf numFmtId="0" fontId="15" fillId="13" borderId="0" xfId="8" applyFill="1" applyAlignment="1">
      <alignment horizontal="center"/>
    </xf>
    <xf numFmtId="0" fontId="16" fillId="13" borderId="0" xfId="8" applyFont="1" applyFill="1" applyAlignment="1">
      <alignment horizontal="right"/>
    </xf>
    <xf numFmtId="2" fontId="16" fillId="13" borderId="5" xfId="8" applyNumberFormat="1" applyFont="1" applyFill="1" applyBorder="1" applyAlignment="1">
      <alignment horizontal="center"/>
    </xf>
    <xf numFmtId="0" fontId="32" fillId="13" borderId="0" xfId="0" applyFont="1" applyFill="1" applyAlignment="1">
      <alignment horizontal="center" vertical="center" wrapText="1"/>
    </xf>
    <xf numFmtId="14" fontId="33" fillId="13" borderId="0" xfId="0" applyNumberFormat="1" applyFont="1" applyFill="1" applyAlignment="1">
      <alignment horizontal="center" vertical="center" wrapText="1"/>
    </xf>
    <xf numFmtId="0" fontId="33" fillId="13" borderId="0" xfId="0" applyFont="1" applyFill="1" applyAlignment="1">
      <alignment horizontal="right" vertical="center" wrapText="1"/>
    </xf>
    <xf numFmtId="0" fontId="16" fillId="13" borderId="5" xfId="8" applyFont="1" applyFill="1" applyBorder="1" applyAlignment="1">
      <alignment horizontal="center" wrapText="1"/>
    </xf>
    <xf numFmtId="0" fontId="34" fillId="13" borderId="77" xfId="0" applyFont="1" applyFill="1" applyBorder="1" applyAlignment="1">
      <alignment horizontal="justify" vertical="center" wrapText="1"/>
    </xf>
    <xf numFmtId="0" fontId="34" fillId="13" borderId="4" xfId="0" applyFont="1" applyFill="1" applyBorder="1" applyAlignment="1">
      <alignment horizontal="center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justify" vertical="center" wrapText="1"/>
    </xf>
    <xf numFmtId="0" fontId="16" fillId="13" borderId="5" xfId="8" applyFont="1" applyFill="1" applyBorder="1" applyAlignment="1">
      <alignment horizontal="center" vertical="center"/>
    </xf>
    <xf numFmtId="0" fontId="34" fillId="13" borderId="80" xfId="0" applyFont="1" applyFill="1" applyBorder="1" applyAlignment="1">
      <alignment horizontal="justify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center" vertical="center" wrapText="1"/>
    </xf>
    <xf numFmtId="0" fontId="38" fillId="8" borderId="21" xfId="0" applyFont="1" applyFill="1" applyBorder="1" applyAlignment="1">
      <alignment horizontal="center" vertical="center"/>
    </xf>
    <xf numFmtId="0" fontId="2" fillId="0" borderId="5" xfId="0" applyFont="1" applyBorder="1"/>
    <xf numFmtId="0" fontId="0" fillId="5" borderId="5" xfId="0" applyFill="1" applyBorder="1"/>
    <xf numFmtId="0" fontId="2" fillId="5" borderId="5" xfId="0" applyFont="1" applyFill="1" applyBorder="1"/>
    <xf numFmtId="0" fontId="0" fillId="0" borderId="5" xfId="0" applyFill="1" applyBorder="1"/>
    <xf numFmtId="0" fontId="2" fillId="0" borderId="5" xfId="0" applyFont="1" applyFill="1" applyBorder="1"/>
    <xf numFmtId="0" fontId="2" fillId="9" borderId="5" xfId="0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/>
    </xf>
    <xf numFmtId="0" fontId="39" fillId="0" borderId="5" xfId="0" applyFont="1" applyFill="1" applyBorder="1" applyAlignment="1">
      <alignment vertical="center" wrapText="1"/>
    </xf>
    <xf numFmtId="164" fontId="0" fillId="0" borderId="5" xfId="0" applyNumberFormat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/>
    <xf numFmtId="164" fontId="0" fillId="5" borderId="5" xfId="0" applyNumberFormat="1" applyFill="1" applyBorder="1"/>
    <xf numFmtId="0" fontId="0" fillId="5" borderId="5" xfId="0" applyFill="1" applyBorder="1" applyAlignment="1">
      <alignment horizontal="center"/>
    </xf>
    <xf numFmtId="164" fontId="0" fillId="3" borderId="5" xfId="0" applyNumberFormat="1" applyFill="1" applyBorder="1"/>
    <xf numFmtId="164" fontId="0" fillId="0" borderId="5" xfId="0" applyNumberFormat="1" applyFill="1" applyBorder="1"/>
    <xf numFmtId="164" fontId="0" fillId="0" borderId="18" xfId="0" applyNumberFormat="1" applyBorder="1"/>
    <xf numFmtId="0" fontId="40" fillId="0" borderId="5" xfId="0" applyFont="1" applyFill="1" applyBorder="1" applyAlignment="1">
      <alignment vertical="center" wrapText="1"/>
    </xf>
    <xf numFmtId="164" fontId="0" fillId="0" borderId="15" xfId="0" applyNumberFormat="1" applyBorder="1"/>
    <xf numFmtId="164" fontId="0" fillId="0" borderId="21" xfId="0" applyNumberFormat="1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left" vertical="top"/>
    </xf>
    <xf numFmtId="4" fontId="43" fillId="0" borderId="74" xfId="0" applyNumberFormat="1" applyFont="1" applyFill="1" applyBorder="1" applyAlignment="1">
      <alignment horizontal="center" vertical="center" wrapText="1"/>
    </xf>
    <xf numFmtId="4" fontId="43" fillId="0" borderId="74" xfId="0" applyNumberFormat="1" applyFont="1" applyFill="1" applyBorder="1" applyAlignment="1">
      <alignment horizontal="right" vertical="center" wrapText="1"/>
    </xf>
    <xf numFmtId="4" fontId="43" fillId="3" borderId="74" xfId="0" applyNumberFormat="1" applyFont="1" applyFill="1" applyBorder="1" applyAlignment="1">
      <alignment horizontal="right" vertical="center" wrapText="1"/>
    </xf>
    <xf numFmtId="4" fontId="43" fillId="0" borderId="86" xfId="0" applyNumberFormat="1" applyFont="1" applyFill="1" applyBorder="1" applyAlignment="1">
      <alignment horizontal="center" vertical="center" wrapText="1"/>
    </xf>
    <xf numFmtId="4" fontId="43" fillId="0" borderId="86" xfId="0" applyNumberFormat="1" applyFont="1" applyFill="1" applyBorder="1" applyAlignment="1">
      <alignment horizontal="right" vertical="center" wrapText="1"/>
    </xf>
    <xf numFmtId="4" fontId="43" fillId="3" borderId="86" xfId="0" applyNumberFormat="1" applyFont="1" applyFill="1" applyBorder="1" applyAlignment="1">
      <alignment horizontal="right" vertical="center" wrapText="1"/>
    </xf>
    <xf numFmtId="4" fontId="43" fillId="0" borderId="75" xfId="0" applyNumberFormat="1" applyFont="1" applyFill="1" applyBorder="1" applyAlignment="1">
      <alignment horizontal="center" vertical="center" wrapText="1"/>
    </xf>
    <xf numFmtId="4" fontId="43" fillId="0" borderId="75" xfId="0" applyNumberFormat="1" applyFont="1" applyFill="1" applyBorder="1" applyAlignment="1">
      <alignment horizontal="right" vertical="center" wrapText="1"/>
    </xf>
    <xf numFmtId="4" fontId="43" fillId="3" borderId="75" xfId="0" applyNumberFormat="1" applyFont="1" applyFill="1" applyBorder="1" applyAlignment="1">
      <alignment horizontal="right" vertical="center" wrapText="1"/>
    </xf>
    <xf numFmtId="4" fontId="43" fillId="3" borderId="87" xfId="0" applyNumberFormat="1" applyFont="1" applyFill="1" applyBorder="1" applyAlignment="1">
      <alignment horizontal="right" vertical="center" wrapText="1"/>
    </xf>
    <xf numFmtId="4" fontId="43" fillId="3" borderId="91" xfId="0" applyNumberFormat="1" applyFont="1" applyFill="1" applyBorder="1" applyAlignment="1">
      <alignment horizontal="right" vertical="center" wrapText="1"/>
    </xf>
    <xf numFmtId="4" fontId="43" fillId="3" borderId="89" xfId="0" applyNumberFormat="1" applyFont="1" applyFill="1" applyBorder="1" applyAlignment="1">
      <alignment horizontal="right" vertical="center" wrapText="1"/>
    </xf>
    <xf numFmtId="2" fontId="43" fillId="0" borderId="86" xfId="0" applyNumberFormat="1" applyFont="1" applyFill="1" applyBorder="1" applyAlignment="1">
      <alignment horizontal="center" vertical="center" wrapText="1"/>
    </xf>
    <xf numFmtId="2" fontId="43" fillId="0" borderId="86" xfId="0" applyNumberFormat="1" applyFont="1" applyFill="1" applyBorder="1" applyAlignment="1">
      <alignment horizontal="right" vertical="center" wrapText="1"/>
    </xf>
    <xf numFmtId="2" fontId="43" fillId="3" borderId="91" xfId="0" applyNumberFormat="1" applyFont="1" applyFill="1" applyBorder="1" applyAlignment="1">
      <alignment horizontal="right" vertical="center" wrapText="1"/>
    </xf>
    <xf numFmtId="2" fontId="43" fillId="0" borderId="74" xfId="0" applyNumberFormat="1" applyFont="1" applyFill="1" applyBorder="1" applyAlignment="1">
      <alignment horizontal="center" vertical="center" wrapText="1"/>
    </xf>
    <xf numFmtId="2" fontId="43" fillId="0" borderId="74" xfId="0" applyNumberFormat="1" applyFont="1" applyFill="1" applyBorder="1" applyAlignment="1">
      <alignment horizontal="right" vertical="center" wrapText="1"/>
    </xf>
    <xf numFmtId="2" fontId="43" fillId="3" borderId="87" xfId="0" applyNumberFormat="1" applyFont="1" applyFill="1" applyBorder="1" applyAlignment="1">
      <alignment horizontal="right" vertical="center" wrapText="1"/>
    </xf>
    <xf numFmtId="2" fontId="43" fillId="0" borderId="75" xfId="0" applyNumberFormat="1" applyFont="1" applyFill="1" applyBorder="1" applyAlignment="1">
      <alignment horizontal="center" vertical="center" wrapText="1"/>
    </xf>
    <xf numFmtId="2" fontId="43" fillId="0" borderId="75" xfId="0" applyNumberFormat="1" applyFont="1" applyFill="1" applyBorder="1" applyAlignment="1">
      <alignment horizontal="right" vertical="center" wrapText="1"/>
    </xf>
    <xf numFmtId="2" fontId="43" fillId="3" borderId="89" xfId="0" applyNumberFormat="1" applyFont="1" applyFill="1" applyBorder="1" applyAlignment="1">
      <alignment horizontal="right" vertical="center" wrapText="1"/>
    </xf>
    <xf numFmtId="0" fontId="0" fillId="0" borderId="94" xfId="0" applyFill="1" applyBorder="1" applyAlignment="1">
      <alignment horizontal="left" vertical="center" wrapText="1"/>
    </xf>
    <xf numFmtId="0" fontId="0" fillId="0" borderId="9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84" xfId="0" applyFill="1" applyBorder="1" applyAlignment="1">
      <alignment horizontal="left" vertical="center" wrapText="1"/>
    </xf>
    <xf numFmtId="0" fontId="0" fillId="0" borderId="82" xfId="0" applyFill="1" applyBorder="1" applyAlignment="1">
      <alignment horizontal="left" vertical="center" wrapText="1"/>
    </xf>
    <xf numFmtId="0" fontId="44" fillId="0" borderId="63" xfId="4" applyFont="1" applyBorder="1" applyAlignment="1">
      <alignment horizontal="center"/>
    </xf>
    <xf numFmtId="43" fontId="29" fillId="0" borderId="65" xfId="8" applyNumberFormat="1" applyFont="1" applyFill="1" applyBorder="1" applyAlignment="1">
      <alignment horizontal="center"/>
    </xf>
    <xf numFmtId="43" fontId="29" fillId="0" borderId="66" xfId="6" applyFont="1" applyFill="1" applyBorder="1" applyAlignment="1"/>
    <xf numFmtId="43" fontId="29" fillId="0" borderId="65" xfId="6" applyFont="1" applyFill="1" applyBorder="1" applyAlignment="1">
      <alignment horizontal="center"/>
    </xf>
    <xf numFmtId="0" fontId="29" fillId="0" borderId="64" xfId="8" applyFont="1" applyBorder="1" applyAlignment="1">
      <alignment vertical="center"/>
    </xf>
    <xf numFmtId="0" fontId="29" fillId="0" borderId="65" xfId="8" applyFont="1" applyFill="1" applyBorder="1" applyAlignment="1">
      <alignment horizontal="center"/>
    </xf>
    <xf numFmtId="0" fontId="31" fillId="0" borderId="65" xfId="8" applyFont="1" applyFill="1" applyBorder="1" applyAlignment="1">
      <alignment horizontal="center"/>
    </xf>
    <xf numFmtId="43" fontId="31" fillId="0" borderId="66" xfId="6" applyFont="1" applyFill="1" applyBorder="1" applyAlignment="1"/>
    <xf numFmtId="43" fontId="31" fillId="0" borderId="66" xfId="6" applyFont="1" applyFill="1" applyBorder="1" applyAlignment="1">
      <alignment horizontal="center"/>
    </xf>
    <xf numFmtId="0" fontId="29" fillId="0" borderId="64" xfId="8" applyFont="1" applyBorder="1" applyAlignment="1">
      <alignment horizontal="left" vertical="center"/>
    </xf>
    <xf numFmtId="0" fontId="31" fillId="3" borderId="64" xfId="8" applyFont="1" applyFill="1" applyBorder="1" applyAlignment="1">
      <alignment horizontal="left" vertical="center"/>
    </xf>
    <xf numFmtId="0" fontId="44" fillId="3" borderId="63" xfId="4" applyFont="1" applyFill="1" applyBorder="1" applyAlignment="1">
      <alignment horizontal="center"/>
    </xf>
    <xf numFmtId="0" fontId="31" fillId="3" borderId="65" xfId="8" applyFont="1" applyFill="1" applyBorder="1" applyAlignment="1">
      <alignment horizontal="center"/>
    </xf>
    <xf numFmtId="43" fontId="31" fillId="3" borderId="66" xfId="6" applyNumberFormat="1" applyFont="1" applyFill="1" applyBorder="1" applyAlignment="1"/>
    <xf numFmtId="2" fontId="7" fillId="0" borderId="0" xfId="0" applyNumberFormat="1" applyFont="1" applyProtection="1">
      <protection locked="0"/>
    </xf>
    <xf numFmtId="165" fontId="21" fillId="16" borderId="99" xfId="4" applyNumberFormat="1" applyFont="1" applyFill="1" applyBorder="1" applyAlignment="1">
      <alignment horizontal="center" vertical="center"/>
    </xf>
    <xf numFmtId="0" fontId="15" fillId="0" borderId="0" xfId="8" applyFont="1"/>
    <xf numFmtId="0" fontId="28" fillId="0" borderId="0" xfId="8" applyFont="1" applyFill="1" applyBorder="1" applyAlignment="1">
      <alignment horizontal="left"/>
    </xf>
    <xf numFmtId="0" fontId="28" fillId="0" borderId="0" xfId="8" applyFont="1" applyFill="1" applyBorder="1" applyAlignment="1">
      <alignment horizontal="center"/>
    </xf>
    <xf numFmtId="0" fontId="28" fillId="0" borderId="0" xfId="8" applyFont="1" applyFill="1" applyBorder="1" applyAlignment="1">
      <alignment horizontal="right" vertical="center"/>
    </xf>
    <xf numFmtId="0" fontId="15" fillId="0" borderId="0" xfId="8" applyFont="1" applyAlignment="1">
      <alignment horizontal="right"/>
    </xf>
    <xf numFmtId="0" fontId="45" fillId="17" borderId="100" xfId="8" applyFont="1" applyFill="1" applyBorder="1" applyAlignment="1">
      <alignment horizontal="right" vertical="center"/>
    </xf>
    <xf numFmtId="0" fontId="16" fillId="18" borderId="48" xfId="8" applyFont="1" applyFill="1" applyBorder="1" applyAlignment="1">
      <alignment horizontal="center" vertical="center"/>
    </xf>
    <xf numFmtId="0" fontId="16" fillId="18" borderId="50" xfId="8" applyFont="1" applyFill="1" applyBorder="1" applyAlignment="1">
      <alignment horizontal="center" vertical="center"/>
    </xf>
    <xf numFmtId="2" fontId="16" fillId="18" borderId="51" xfId="8" applyNumberFormat="1" applyFont="1" applyFill="1" applyBorder="1" applyAlignment="1">
      <alignment horizontal="center" vertical="center"/>
    </xf>
    <xf numFmtId="0" fontId="46" fillId="0" borderId="5" xfId="8" applyFont="1" applyBorder="1" applyAlignment="1">
      <alignment horizontal="center" vertical="center"/>
    </xf>
    <xf numFmtId="0" fontId="46" fillId="0" borderId="5" xfId="8" applyFont="1" applyBorder="1" applyAlignment="1">
      <alignment horizontal="center" vertical="center" wrapText="1"/>
    </xf>
    <xf numFmtId="0" fontId="19" fillId="0" borderId="48" xfId="4" applyFont="1" applyFill="1" applyBorder="1" applyAlignment="1">
      <alignment horizontal="center" vertical="center"/>
    </xf>
    <xf numFmtId="166" fontId="19" fillId="0" borderId="50" xfId="5" applyFont="1" applyFill="1" applyBorder="1" applyAlignment="1" applyProtection="1">
      <alignment horizontal="center" vertical="center"/>
    </xf>
    <xf numFmtId="43" fontId="46" fillId="0" borderId="5" xfId="1" applyFont="1" applyBorder="1" applyAlignment="1">
      <alignment horizontal="center" vertical="center"/>
    </xf>
    <xf numFmtId="2" fontId="46" fillId="0" borderId="5" xfId="8" applyNumberFormat="1" applyFont="1" applyBorder="1" applyAlignment="1">
      <alignment horizontal="center" vertical="center"/>
    </xf>
    <xf numFmtId="0" fontId="5" fillId="0" borderId="48" xfId="4" applyFont="1" applyFill="1" applyBorder="1" applyAlignment="1">
      <alignment horizontal="center" vertical="center"/>
    </xf>
    <xf numFmtId="2" fontId="27" fillId="0" borderId="0" xfId="8" applyNumberFormat="1" applyFont="1"/>
    <xf numFmtId="0" fontId="15" fillId="0" borderId="5" xfId="8" applyFont="1" applyBorder="1" applyAlignment="1">
      <alignment horizontal="center" vertical="center"/>
    </xf>
    <xf numFmtId="12" fontId="15" fillId="0" borderId="5" xfId="1" applyNumberFormat="1" applyFont="1" applyBorder="1" applyAlignment="1">
      <alignment horizontal="center" vertical="center"/>
    </xf>
    <xf numFmtId="12" fontId="15" fillId="0" borderId="0" xfId="8" applyNumberFormat="1" applyFont="1"/>
    <xf numFmtId="2" fontId="15" fillId="0" borderId="0" xfId="8" applyNumberFormat="1" applyFont="1"/>
    <xf numFmtId="166" fontId="5" fillId="0" borderId="50" xfId="5" applyFont="1" applyFill="1" applyBorder="1" applyAlignment="1" applyProtection="1">
      <alignment horizontal="center" vertical="center"/>
    </xf>
    <xf numFmtId="177" fontId="15" fillId="0" borderId="0" xfId="8" applyNumberFormat="1" applyFont="1"/>
    <xf numFmtId="0" fontId="19" fillId="0" borderId="50" xfId="4" applyFont="1" applyFill="1" applyBorder="1" applyAlignment="1">
      <alignment horizontal="center" vertical="center"/>
    </xf>
    <xf numFmtId="9" fontId="15" fillId="0" borderId="0" xfId="3" applyFont="1"/>
    <xf numFmtId="10" fontId="15" fillId="0" borderId="50" xfId="7" applyNumberFormat="1" applyFont="1" applyFill="1" applyBorder="1" applyAlignment="1">
      <alignment horizontal="right" vertical="center"/>
    </xf>
    <xf numFmtId="0" fontId="17" fillId="0" borderId="0" xfId="8" applyFont="1"/>
    <xf numFmtId="0" fontId="47" fillId="0" borderId="0" xfId="4" applyFont="1"/>
    <xf numFmtId="0" fontId="5" fillId="3" borderId="48" xfId="4" applyFont="1" applyFill="1" applyBorder="1" applyAlignment="1">
      <alignment horizontal="center" vertical="center"/>
    </xf>
    <xf numFmtId="0" fontId="5" fillId="3" borderId="50" xfId="4" applyFont="1" applyFill="1" applyBorder="1" applyAlignment="1">
      <alignment vertical="center"/>
    </xf>
    <xf numFmtId="0" fontId="5" fillId="3" borderId="50" xfId="4" applyFont="1" applyFill="1" applyBorder="1" applyAlignment="1">
      <alignment horizontal="center" vertical="center"/>
    </xf>
    <xf numFmtId="166" fontId="5" fillId="3" borderId="50" xfId="5" applyFont="1" applyFill="1" applyBorder="1" applyAlignment="1" applyProtection="1">
      <alignment horizontal="center" vertical="center"/>
    </xf>
    <xf numFmtId="4" fontId="15" fillId="3" borderId="50" xfId="6" applyNumberFormat="1" applyFont="1" applyFill="1" applyBorder="1" applyAlignment="1">
      <alignment horizontal="right" vertical="center"/>
    </xf>
    <xf numFmtId="167" fontId="5" fillId="3" borderId="51" xfId="4" applyNumberFormat="1" applyFont="1" applyFill="1" applyBorder="1" applyAlignment="1">
      <alignment vertical="center"/>
    </xf>
    <xf numFmtId="0" fontId="19" fillId="0" borderId="52" xfId="4" applyFont="1" applyBorder="1" applyAlignment="1">
      <alignment horizontal="center" vertical="center"/>
    </xf>
    <xf numFmtId="0" fontId="19" fillId="0" borderId="54" xfId="4" applyFont="1" applyFill="1" applyBorder="1" applyAlignment="1">
      <alignment vertical="center"/>
    </xf>
    <xf numFmtId="43" fontId="16" fillId="0" borderId="54" xfId="6" applyFont="1" applyFill="1" applyBorder="1" applyAlignment="1">
      <alignment horizontal="center" vertical="center"/>
    </xf>
    <xf numFmtId="166" fontId="19" fillId="0" borderId="54" xfId="5" applyFont="1" applyFill="1" applyBorder="1" applyAlignment="1" applyProtection="1">
      <alignment horizontal="center" vertical="center"/>
    </xf>
    <xf numFmtId="167" fontId="16" fillId="0" borderId="54" xfId="7" applyNumberFormat="1" applyFont="1" applyFill="1" applyBorder="1" applyAlignment="1">
      <alignment horizontal="right" vertical="center"/>
    </xf>
    <xf numFmtId="167" fontId="19" fillId="0" borderId="55" xfId="4" applyNumberFormat="1" applyFont="1" applyBorder="1" applyAlignment="1">
      <alignment vertical="center"/>
    </xf>
    <xf numFmtId="0" fontId="47" fillId="0" borderId="0" xfId="4" applyFont="1" applyFill="1" applyBorder="1"/>
    <xf numFmtId="0" fontId="15" fillId="0" borderId="0" xfId="8" applyFont="1" applyAlignment="1">
      <alignment vertical="center"/>
    </xf>
    <xf numFmtId="0" fontId="15" fillId="0" borderId="0" xfId="8" applyFont="1" applyFill="1" applyBorder="1"/>
    <xf numFmtId="0" fontId="15" fillId="0" borderId="0" xfId="8" applyFont="1" applyFill="1"/>
    <xf numFmtId="43" fontId="15" fillId="3" borderId="50" xfId="6" applyNumberFormat="1" applyFont="1" applyFill="1" applyBorder="1" applyAlignment="1">
      <alignment horizontal="center" vertical="center"/>
    </xf>
    <xf numFmtId="43" fontId="15" fillId="3" borderId="50" xfId="6" applyFont="1" applyFill="1" applyBorder="1" applyAlignment="1">
      <alignment horizontal="center" vertical="center"/>
    </xf>
    <xf numFmtId="0" fontId="15" fillId="0" borderId="0" xfId="8" applyFont="1" applyAlignment="1">
      <alignment horizontal="center"/>
    </xf>
    <xf numFmtId="0" fontId="19" fillId="0" borderId="51" xfId="4" applyNumberFormat="1" applyFont="1" applyBorder="1" applyAlignment="1">
      <alignment vertical="center"/>
    </xf>
    <xf numFmtId="43" fontId="15" fillId="0" borderId="103" xfId="6" applyBorder="1" applyAlignment="1">
      <alignment horizontal="center"/>
    </xf>
    <xf numFmtId="43" fontId="29" fillId="0" borderId="64" xfId="6" applyFont="1" applyBorder="1" applyAlignment="1">
      <alignment vertical="center"/>
    </xf>
    <xf numFmtId="43" fontId="15" fillId="0" borderId="63" xfId="6" applyBorder="1" applyAlignment="1">
      <alignment horizontal="center"/>
    </xf>
    <xf numFmtId="43" fontId="15" fillId="0" borderId="0" xfId="6" applyBorder="1" applyAlignment="1">
      <alignment horizontal="center"/>
    </xf>
    <xf numFmtId="43" fontId="15" fillId="0" borderId="0" xfId="8" applyNumberFormat="1" applyFont="1"/>
    <xf numFmtId="43" fontId="16" fillId="3" borderId="66" xfId="6" applyNumberFormat="1" applyFont="1" applyFill="1" applyBorder="1" applyAlignment="1"/>
    <xf numFmtId="0" fontId="19" fillId="0" borderId="113" xfId="4" applyFont="1" applyFill="1" applyBorder="1" applyAlignment="1">
      <alignment horizontal="center" vertical="center"/>
    </xf>
    <xf numFmtId="0" fontId="19" fillId="0" borderId="114" xfId="4" applyFont="1" applyFill="1" applyBorder="1" applyAlignment="1">
      <alignment horizontal="center" vertical="center"/>
    </xf>
    <xf numFmtId="0" fontId="19" fillId="0" borderId="115" xfId="4" applyFont="1" applyFill="1" applyBorder="1" applyAlignment="1">
      <alignment horizontal="center" vertical="center"/>
    </xf>
    <xf numFmtId="0" fontId="19" fillId="0" borderId="115" xfId="4" applyFont="1" applyFill="1" applyBorder="1" applyAlignment="1">
      <alignment horizontal="center" vertical="center" wrapText="1"/>
    </xf>
    <xf numFmtId="49" fontId="19" fillId="0" borderId="116" xfId="4" applyNumberFormat="1" applyFont="1" applyFill="1" applyBorder="1" applyAlignment="1">
      <alignment horizontal="center" vertical="center" wrapText="1"/>
    </xf>
    <xf numFmtId="0" fontId="28" fillId="0" borderId="120" xfId="8" applyFont="1" applyBorder="1" applyAlignment="1">
      <alignment horizontal="center"/>
    </xf>
    <xf numFmtId="0" fontId="4" fillId="0" borderId="119" xfId="4" applyBorder="1" applyAlignment="1">
      <alignment horizontal="center"/>
    </xf>
    <xf numFmtId="0" fontId="28" fillId="0" borderId="121" xfId="8" applyFont="1" applyBorder="1" applyAlignment="1">
      <alignment horizontal="center"/>
    </xf>
    <xf numFmtId="0" fontId="28" fillId="0" borderId="122" xfId="8" applyFont="1" applyBorder="1" applyAlignment="1">
      <alignment horizontal="center"/>
    </xf>
    <xf numFmtId="165" fontId="21" fillId="16" borderId="125" xfId="4" applyNumberFormat="1" applyFont="1" applyFill="1" applyBorder="1" applyAlignment="1">
      <alignment horizontal="center" vertical="center"/>
    </xf>
    <xf numFmtId="0" fontId="45" fillId="17" borderId="126" xfId="8" applyFont="1" applyFill="1" applyBorder="1" applyAlignment="1">
      <alignment horizontal="right" vertical="center"/>
    </xf>
    <xf numFmtId="0" fontId="19" fillId="0" borderId="139" xfId="4" applyFont="1" applyFill="1" applyBorder="1" applyAlignment="1">
      <alignment horizontal="center" vertical="center"/>
    </xf>
    <xf numFmtId="0" fontId="19" fillId="0" borderId="140" xfId="4" applyFont="1" applyFill="1" applyBorder="1" applyAlignment="1">
      <alignment horizontal="center" vertical="center"/>
    </xf>
    <xf numFmtId="0" fontId="19" fillId="0" borderId="141" xfId="4" applyFont="1" applyFill="1" applyBorder="1" applyAlignment="1">
      <alignment horizontal="center" vertical="center"/>
    </xf>
    <xf numFmtId="0" fontId="19" fillId="0" borderId="141" xfId="4" applyFont="1" applyFill="1" applyBorder="1" applyAlignment="1">
      <alignment horizontal="center" vertical="center" wrapText="1"/>
    </xf>
    <xf numFmtId="49" fontId="19" fillId="0" borderId="142" xfId="4" applyNumberFormat="1" applyFont="1" applyFill="1" applyBorder="1" applyAlignment="1">
      <alignment horizontal="center" vertical="center" wrapText="1"/>
    </xf>
    <xf numFmtId="0" fontId="28" fillId="0" borderId="146" xfId="8" applyFont="1" applyBorder="1" applyAlignment="1">
      <alignment horizontal="center"/>
    </xf>
    <xf numFmtId="0" fontId="4" fillId="0" borderId="145" xfId="4" applyBorder="1" applyAlignment="1">
      <alignment horizontal="center"/>
    </xf>
    <xf numFmtId="0" fontId="28" fillId="0" borderId="147" xfId="8" applyFont="1" applyBorder="1" applyAlignment="1">
      <alignment horizontal="center"/>
    </xf>
    <xf numFmtId="0" fontId="28" fillId="0" borderId="148" xfId="8" applyFont="1" applyBorder="1" applyAlignment="1">
      <alignment horizontal="center"/>
    </xf>
    <xf numFmtId="165" fontId="21" fillId="16" borderId="151" xfId="4" applyNumberFormat="1" applyFont="1" applyFill="1" applyBorder="1" applyAlignment="1">
      <alignment horizontal="center" vertical="center"/>
    </xf>
    <xf numFmtId="0" fontId="45" fillId="17" borderId="152" xfId="8" applyFont="1" applyFill="1" applyBorder="1" applyAlignment="1">
      <alignment horizontal="right" vertical="center"/>
    </xf>
    <xf numFmtId="12" fontId="15" fillId="0" borderId="0" xfId="8" applyNumberFormat="1" applyFont="1" applyFill="1"/>
    <xf numFmtId="2" fontId="15" fillId="0" borderId="0" xfId="8" applyNumberFormat="1" applyFont="1" applyFill="1"/>
    <xf numFmtId="43" fontId="15" fillId="0" borderId="0" xfId="1" applyFont="1" applyFill="1"/>
    <xf numFmtId="9" fontId="15" fillId="0" borderId="0" xfId="3" applyFont="1" applyFill="1"/>
    <xf numFmtId="0" fontId="17" fillId="0" borderId="0" xfId="8" applyFont="1" applyFill="1"/>
    <xf numFmtId="167" fontId="21" fillId="10" borderId="55" xfId="4" applyNumberFormat="1" applyFont="1" applyFill="1" applyBorder="1" applyAlignment="1">
      <alignment vertical="center"/>
    </xf>
    <xf numFmtId="43" fontId="50" fillId="0" borderId="0" xfId="6" applyNumberFormat="1" applyFont="1"/>
    <xf numFmtId="0" fontId="51" fillId="2" borderId="0" xfId="0" applyFont="1" applyFill="1" applyAlignment="1" applyProtection="1">
      <alignment vertical="center"/>
      <protection locked="0"/>
    </xf>
    <xf numFmtId="0" fontId="51" fillId="0" borderId="0" xfId="0" applyFont="1" applyAlignment="1" applyProtection="1">
      <alignment vertical="center"/>
      <protection locked="0"/>
    </xf>
    <xf numFmtId="0" fontId="51" fillId="9" borderId="0" xfId="0" applyFont="1" applyFill="1" applyAlignment="1" applyProtection="1">
      <alignment vertical="center"/>
      <protection locked="0"/>
    </xf>
    <xf numFmtId="0" fontId="51" fillId="2" borderId="0" xfId="0" applyFont="1" applyFill="1" applyProtection="1">
      <protection locked="0"/>
    </xf>
    <xf numFmtId="0" fontId="51" fillId="0" borderId="0" xfId="0" applyFont="1" applyProtection="1">
      <protection locked="0"/>
    </xf>
    <xf numFmtId="0" fontId="4" fillId="0" borderId="0" xfId="4" applyFill="1" applyBorder="1"/>
    <xf numFmtId="0" fontId="24" fillId="0" borderId="0" xfId="4" applyFont="1" applyFill="1" applyBorder="1" applyAlignment="1">
      <alignment horizontal="center" vertical="center"/>
    </xf>
    <xf numFmtId="43" fontId="4" fillId="0" borderId="0" xfId="4" applyNumberFormat="1" applyFill="1" applyBorder="1"/>
    <xf numFmtId="0" fontId="4" fillId="0" borderId="0" xfId="4" applyFont="1" applyFill="1" applyBorder="1"/>
    <xf numFmtId="168" fontId="4" fillId="0" borderId="0" xfId="4" applyNumberFormat="1" applyFill="1" applyBorder="1"/>
    <xf numFmtId="0" fontId="24" fillId="0" borderId="0" xfId="4" applyFont="1" applyFill="1" applyBorder="1" applyAlignment="1">
      <alignment horizontal="right"/>
    </xf>
    <xf numFmtId="43" fontId="24" fillId="0" borderId="0" xfId="4" applyNumberFormat="1" applyFont="1" applyFill="1" applyBorder="1" applyAlignment="1">
      <alignment horizontal="right"/>
    </xf>
    <xf numFmtId="9" fontId="47" fillId="0" borderId="0" xfId="3" applyFont="1"/>
    <xf numFmtId="9" fontId="47" fillId="0" borderId="0" xfId="4" applyNumberFormat="1" applyFont="1"/>
    <xf numFmtId="0" fontId="0" fillId="0" borderId="19" xfId="0" applyBorder="1"/>
    <xf numFmtId="164" fontId="0" fillId="0" borderId="19" xfId="0" applyNumberFormat="1" applyBorder="1" applyAlignment="1">
      <alignment horizontal="center"/>
    </xf>
    <xf numFmtId="174" fontId="39" fillId="0" borderId="155" xfId="0" applyNumberFormat="1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/>
    </xf>
    <xf numFmtId="0" fontId="37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5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>
      <alignment horizontal="center" vertical="center"/>
    </xf>
    <xf numFmtId="0" fontId="12" fillId="0" borderId="29" xfId="0" applyFont="1" applyFill="1" applyBorder="1" applyAlignment="1" applyProtection="1">
      <alignment horizontal="center" vertical="center" wrapText="1"/>
      <protection locked="0"/>
    </xf>
    <xf numFmtId="0" fontId="53" fillId="0" borderId="22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>
      <alignment horizontal="center" vertical="center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4" fillId="0" borderId="29" xfId="0" applyFont="1" applyFill="1" applyBorder="1" applyAlignment="1" applyProtection="1">
      <alignment horizontal="center" vertical="center" wrapText="1"/>
      <protection locked="0"/>
    </xf>
    <xf numFmtId="43" fontId="15" fillId="0" borderId="166" xfId="6" applyFill="1" applyBorder="1" applyAlignment="1">
      <alignment horizontal="center"/>
    </xf>
    <xf numFmtId="43" fontId="29" fillId="0" borderId="69" xfId="6" applyFont="1" applyFill="1" applyBorder="1" applyAlignment="1">
      <alignment vertical="center"/>
    </xf>
    <xf numFmtId="43" fontId="15" fillId="0" borderId="68" xfId="6" applyFill="1" applyBorder="1" applyAlignment="1">
      <alignment horizontal="center"/>
    </xf>
    <xf numFmtId="43" fontId="15" fillId="0" borderId="71" xfId="6" applyFill="1" applyBorder="1" applyAlignment="1"/>
    <xf numFmtId="43" fontId="15" fillId="0" borderId="0" xfId="6" applyFill="1" applyBorder="1" applyAlignment="1">
      <alignment horizontal="center"/>
    </xf>
    <xf numFmtId="0" fontId="15" fillId="0" borderId="0" xfId="8" applyFont="1" applyBorder="1"/>
    <xf numFmtId="4" fontId="6" fillId="0" borderId="0" xfId="0" applyNumberFormat="1" applyFont="1" applyProtection="1">
      <protection locked="0"/>
    </xf>
    <xf numFmtId="0" fontId="53" fillId="0" borderId="173" xfId="0" applyFont="1" applyFill="1" applyBorder="1" applyAlignment="1" applyProtection="1">
      <alignment vertical="center" wrapText="1"/>
      <protection locked="0"/>
    </xf>
    <xf numFmtId="0" fontId="53" fillId="0" borderId="16" xfId="0" applyFont="1" applyFill="1" applyBorder="1" applyAlignment="1" applyProtection="1">
      <alignment vertical="center" wrapText="1"/>
      <protection locked="0"/>
    </xf>
    <xf numFmtId="0" fontId="53" fillId="0" borderId="174" xfId="0" applyFont="1" applyFill="1" applyBorder="1" applyAlignment="1" applyProtection="1">
      <alignment vertical="center" wrapText="1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53" fillId="0" borderId="18" xfId="0" applyFont="1" applyFill="1" applyBorder="1" applyAlignment="1" applyProtection="1">
      <alignment horizontal="center" vertical="center" wrapText="1"/>
      <protection locked="0"/>
    </xf>
    <xf numFmtId="0" fontId="53" fillId="0" borderId="172" xfId="0" applyFont="1" applyFill="1" applyBorder="1" applyAlignment="1" applyProtection="1">
      <alignment vertical="center" wrapText="1"/>
      <protection locked="0"/>
    </xf>
    <xf numFmtId="0" fontId="13" fillId="0" borderId="18" xfId="0" applyFont="1" applyFill="1" applyBorder="1" applyAlignment="1">
      <alignment horizontal="center" vertical="center"/>
    </xf>
    <xf numFmtId="0" fontId="12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Fill="1" applyBorder="1" applyAlignment="1" applyProtection="1">
      <alignment horizontal="center" vertical="center" wrapText="1"/>
      <protection locked="0"/>
    </xf>
    <xf numFmtId="0" fontId="13" fillId="0" borderId="172" xfId="0" applyFont="1" applyFill="1" applyBorder="1" applyAlignment="1" applyProtection="1">
      <alignment vertical="center" wrapText="1"/>
      <protection locked="0"/>
    </xf>
    <xf numFmtId="0" fontId="14" fillId="0" borderId="176" xfId="0" applyFont="1" applyFill="1" applyBorder="1" applyAlignment="1" applyProtection="1">
      <alignment horizontal="center" vertical="center" wrapText="1"/>
      <protection locked="0"/>
    </xf>
    <xf numFmtId="0" fontId="53" fillId="0" borderId="21" xfId="0" applyFont="1" applyFill="1" applyBorder="1" applyAlignment="1" applyProtection="1">
      <alignment horizontal="center" vertical="center" wrapText="1"/>
      <protection locked="0"/>
    </xf>
    <xf numFmtId="0" fontId="53" fillId="0" borderId="3" xfId="0" applyFont="1" applyFill="1" applyBorder="1" applyAlignment="1" applyProtection="1">
      <alignment vertical="center" wrapText="1"/>
      <protection locked="0"/>
    </xf>
    <xf numFmtId="0" fontId="13" fillId="0" borderId="21" xfId="0" applyFont="1" applyFill="1" applyBorder="1" applyAlignment="1">
      <alignment horizontal="center" vertical="center"/>
    </xf>
    <xf numFmtId="0" fontId="12" fillId="0" borderId="176" xfId="0" applyFont="1" applyFill="1" applyBorder="1" applyAlignment="1" applyProtection="1">
      <alignment horizontal="center" vertical="center" wrapText="1"/>
      <protection locked="0"/>
    </xf>
    <xf numFmtId="0" fontId="13" fillId="0" borderId="21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vertical="center" wrapText="1"/>
      <protection locked="0"/>
    </xf>
    <xf numFmtId="0" fontId="12" fillId="0" borderId="157" xfId="0" applyFont="1" applyFill="1" applyBorder="1" applyAlignment="1" applyProtection="1">
      <alignment horizontal="center" vertical="center" wrapText="1"/>
      <protection locked="0"/>
    </xf>
    <xf numFmtId="0" fontId="53" fillId="0" borderId="158" xfId="0" applyFont="1" applyFill="1" applyBorder="1" applyAlignment="1" applyProtection="1">
      <alignment horizontal="center" vertical="center" wrapText="1"/>
      <protection locked="0"/>
    </xf>
    <xf numFmtId="0" fontId="13" fillId="0" borderId="158" xfId="0" applyFont="1" applyFill="1" applyBorder="1" applyAlignment="1">
      <alignment horizontal="center" vertical="center"/>
    </xf>
    <xf numFmtId="0" fontId="14" fillId="0" borderId="157" xfId="0" applyFont="1" applyFill="1" applyBorder="1" applyAlignment="1" applyProtection="1">
      <alignment horizontal="center" vertical="center" wrapText="1"/>
      <protection locked="0"/>
    </xf>
    <xf numFmtId="4" fontId="13" fillId="9" borderId="182" xfId="1" applyNumberFormat="1" applyFont="1" applyFill="1" applyBorder="1" applyAlignment="1" applyProtection="1">
      <alignment horizontal="center" vertical="center"/>
      <protection locked="0"/>
    </xf>
    <xf numFmtId="4" fontId="13" fillId="9" borderId="183" xfId="1" applyNumberFormat="1" applyFont="1" applyFill="1" applyBorder="1" applyAlignment="1" applyProtection="1">
      <alignment horizontal="center" vertical="center"/>
      <protection locked="0"/>
    </xf>
    <xf numFmtId="4" fontId="13" fillId="9" borderId="185" xfId="1" applyNumberFormat="1" applyFont="1" applyFill="1" applyBorder="1" applyAlignment="1" applyProtection="1">
      <alignment horizontal="center" vertical="center"/>
      <protection locked="0"/>
    </xf>
    <xf numFmtId="4" fontId="13" fillId="2" borderId="186" xfId="1" applyNumberFormat="1" applyFont="1" applyFill="1" applyBorder="1" applyAlignment="1" applyProtection="1">
      <alignment horizontal="center" vertical="center"/>
      <protection locked="0"/>
    </xf>
    <xf numFmtId="4" fontId="13" fillId="2" borderId="183" xfId="1" applyNumberFormat="1" applyFont="1" applyFill="1" applyBorder="1" applyAlignment="1" applyProtection="1">
      <alignment horizontal="center" vertical="center"/>
      <protection locked="0"/>
    </xf>
    <xf numFmtId="4" fontId="13" fillId="2" borderId="184" xfId="1" applyNumberFormat="1" applyFont="1" applyFill="1" applyBorder="1" applyAlignment="1" applyProtection="1">
      <alignment horizontal="center" vertical="center"/>
      <protection locked="0"/>
    </xf>
    <xf numFmtId="9" fontId="52" fillId="13" borderId="157" xfId="3" applyFont="1" applyFill="1" applyBorder="1" applyAlignment="1" applyProtection="1">
      <alignment horizontal="center" vertical="center"/>
      <protection locked="0"/>
    </xf>
    <xf numFmtId="9" fontId="52" fillId="13" borderId="158" xfId="3" applyFont="1" applyFill="1" applyBorder="1" applyAlignment="1" applyProtection="1">
      <alignment horizontal="center" vertical="center"/>
      <protection locked="0"/>
    </xf>
    <xf numFmtId="43" fontId="13" fillId="13" borderId="157" xfId="0" applyNumberFormat="1" applyFont="1" applyFill="1" applyBorder="1" applyAlignment="1" applyProtection="1">
      <alignment horizontal="center" vertical="center"/>
      <protection locked="0"/>
    </xf>
    <xf numFmtId="43" fontId="13" fillId="13" borderId="158" xfId="0" applyNumberFormat="1" applyFont="1" applyFill="1" applyBorder="1" applyAlignment="1" applyProtection="1">
      <alignment horizontal="center" vertical="center"/>
      <protection locked="0"/>
    </xf>
    <xf numFmtId="174" fontId="13" fillId="13" borderId="159" xfId="0" applyNumberFormat="1" applyFont="1" applyFill="1" applyBorder="1" applyAlignment="1" applyProtection="1">
      <alignment horizontal="center" vertical="center"/>
      <protection locked="0"/>
    </xf>
    <xf numFmtId="43" fontId="13" fillId="13" borderId="14" xfId="0" applyNumberFormat="1" applyFont="1" applyFill="1" applyBorder="1" applyAlignment="1" applyProtection="1">
      <alignment horizontal="center" vertical="center"/>
      <protection locked="0"/>
    </xf>
    <xf numFmtId="43" fontId="13" fillId="13" borderId="5" xfId="0" applyNumberFormat="1" applyFont="1" applyFill="1" applyBorder="1" applyAlignment="1" applyProtection="1">
      <alignment horizontal="center" vertical="center"/>
      <protection locked="0"/>
    </xf>
    <xf numFmtId="174" fontId="13" fillId="13" borderId="155" xfId="0" applyNumberFormat="1" applyFont="1" applyFill="1" applyBorder="1" applyAlignment="1" applyProtection="1">
      <alignment horizontal="center" vertical="center"/>
      <protection locked="0"/>
    </xf>
    <xf numFmtId="43" fontId="13" fillId="13" borderId="29" xfId="0" applyNumberFormat="1" applyFont="1" applyFill="1" applyBorder="1" applyAlignment="1" applyProtection="1">
      <alignment horizontal="center" vertical="center"/>
      <protection locked="0"/>
    </xf>
    <xf numFmtId="43" fontId="13" fillId="13" borderId="22" xfId="0" applyNumberFormat="1" applyFont="1" applyFill="1" applyBorder="1" applyAlignment="1" applyProtection="1">
      <alignment horizontal="center" vertical="center"/>
      <protection locked="0"/>
    </xf>
    <xf numFmtId="174" fontId="13" fillId="13" borderId="156" xfId="0" applyNumberFormat="1" applyFont="1" applyFill="1" applyBorder="1" applyAlignment="1" applyProtection="1">
      <alignment horizontal="center" vertical="center"/>
      <protection locked="0"/>
    </xf>
    <xf numFmtId="43" fontId="13" fillId="13" borderId="176" xfId="0" applyNumberFormat="1" applyFont="1" applyFill="1" applyBorder="1" applyAlignment="1" applyProtection="1">
      <alignment horizontal="center" vertical="center"/>
      <protection locked="0"/>
    </xf>
    <xf numFmtId="43" fontId="13" fillId="13" borderId="21" xfId="0" applyNumberFormat="1" applyFont="1" applyFill="1" applyBorder="1" applyAlignment="1" applyProtection="1">
      <alignment horizontal="center" vertical="center"/>
      <protection locked="0"/>
    </xf>
    <xf numFmtId="174" fontId="13" fillId="13" borderId="177" xfId="0" applyNumberFormat="1" applyFont="1" applyFill="1" applyBorder="1" applyAlignment="1" applyProtection="1">
      <alignment horizontal="center" vertical="center"/>
      <protection locked="0"/>
    </xf>
    <xf numFmtId="43" fontId="13" fillId="13" borderId="17" xfId="0" applyNumberFormat="1" applyFont="1" applyFill="1" applyBorder="1" applyAlignment="1" applyProtection="1">
      <alignment horizontal="center" vertical="center"/>
      <protection locked="0"/>
    </xf>
    <xf numFmtId="43" fontId="13" fillId="13" borderId="18" xfId="0" applyNumberFormat="1" applyFont="1" applyFill="1" applyBorder="1" applyAlignment="1" applyProtection="1">
      <alignment horizontal="center" vertical="center"/>
      <protection locked="0"/>
    </xf>
    <xf numFmtId="174" fontId="13" fillId="13" borderId="175" xfId="0" applyNumberFormat="1" applyFont="1" applyFill="1" applyBorder="1" applyAlignment="1" applyProtection="1">
      <alignment horizontal="center" vertical="center"/>
      <protection locked="0"/>
    </xf>
    <xf numFmtId="0" fontId="51" fillId="9" borderId="0" xfId="0" applyFont="1" applyFill="1" applyProtection="1"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54" fillId="0" borderId="11" xfId="0" applyFont="1" applyFill="1" applyBorder="1" applyAlignment="1" applyProtection="1">
      <alignment horizontal="center" vertical="center" wrapText="1"/>
      <protection locked="0"/>
    </xf>
    <xf numFmtId="0" fontId="54" fillId="0" borderId="11" xfId="0" applyFont="1" applyFill="1" applyBorder="1" applyAlignment="1" applyProtection="1">
      <alignment vertical="center" wrapText="1"/>
      <protection locked="0"/>
    </xf>
    <xf numFmtId="0" fontId="6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54" fillId="0" borderId="5" xfId="0" applyFont="1" applyFill="1" applyBorder="1" applyAlignment="1" applyProtection="1">
      <alignment horizontal="center" vertical="center" wrapText="1"/>
      <protection locked="0"/>
    </xf>
    <xf numFmtId="0" fontId="54" fillId="0" borderId="5" xfId="0" applyFont="1" applyFill="1" applyBorder="1" applyAlignment="1" applyProtection="1">
      <alignment vertical="center" wrapText="1"/>
      <protection locked="0"/>
    </xf>
    <xf numFmtId="0" fontId="6" fillId="0" borderId="5" xfId="0" applyFont="1" applyFill="1" applyBorder="1" applyAlignment="1">
      <alignment horizontal="center" vertical="center"/>
    </xf>
    <xf numFmtId="0" fontId="8" fillId="0" borderId="29" xfId="0" applyFont="1" applyFill="1" applyBorder="1" applyAlignment="1" applyProtection="1">
      <alignment horizontal="center" vertical="center" wrapText="1"/>
      <protection locked="0"/>
    </xf>
    <xf numFmtId="0" fontId="54" fillId="0" borderId="22" xfId="0" applyFont="1" applyFill="1" applyBorder="1" applyAlignment="1" applyProtection="1">
      <alignment horizontal="center" vertical="center" wrapText="1"/>
      <protection locked="0"/>
    </xf>
    <xf numFmtId="0" fontId="54" fillId="0" borderId="22" xfId="0" applyFont="1" applyFill="1" applyBorder="1" applyAlignment="1" applyProtection="1">
      <alignment vertical="center" wrapText="1"/>
      <protection locked="0"/>
    </xf>
    <xf numFmtId="0" fontId="6" fillId="0" borderId="22" xfId="0" applyFont="1" applyFill="1" applyBorder="1" applyAlignment="1">
      <alignment horizontal="center" vertical="center"/>
    </xf>
    <xf numFmtId="0" fontId="30" fillId="0" borderId="9" xfId="0" applyFont="1" applyFill="1" applyBorder="1" applyAlignment="1" applyProtection="1">
      <alignment horizontal="center" vertical="center" wrapText="1"/>
      <protection locked="0"/>
    </xf>
    <xf numFmtId="0" fontId="30" fillId="0" borderId="14" xfId="0" applyFont="1" applyFill="1" applyBorder="1" applyAlignment="1" applyProtection="1">
      <alignment horizontal="center" vertical="center" wrapText="1"/>
      <protection locked="0"/>
    </xf>
    <xf numFmtId="0" fontId="30" fillId="0" borderId="29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 applyProtection="1">
      <alignment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vertical="center" wrapText="1"/>
      <protection locked="0"/>
    </xf>
    <xf numFmtId="0" fontId="6" fillId="2" borderId="26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8" fillId="2" borderId="27" xfId="0" applyFont="1" applyFill="1" applyBorder="1" applyAlignment="1" applyProtection="1">
      <alignment horizontal="right" vertical="center"/>
      <protection locked="0"/>
    </xf>
    <xf numFmtId="44" fontId="8" fillId="2" borderId="19" xfId="2" applyFont="1" applyFill="1" applyBorder="1" applyAlignment="1" applyProtection="1">
      <alignment vertical="center"/>
      <protection locked="0"/>
    </xf>
    <xf numFmtId="0" fontId="19" fillId="0" borderId="50" xfId="4" applyFont="1" applyFill="1" applyBorder="1" applyAlignment="1">
      <alignment horizontal="left" vertical="center"/>
    </xf>
    <xf numFmtId="43" fontId="19" fillId="0" borderId="51" xfId="4" applyNumberFormat="1" applyFont="1" applyFill="1" applyBorder="1" applyAlignment="1">
      <alignment vertical="center"/>
    </xf>
    <xf numFmtId="0" fontId="5" fillId="0" borderId="50" xfId="4" applyFont="1" applyFill="1" applyBorder="1" applyAlignment="1">
      <alignment horizontal="left" vertical="center"/>
    </xf>
    <xf numFmtId="167" fontId="5" fillId="0" borderId="51" xfId="4" applyNumberFormat="1" applyFont="1" applyFill="1" applyBorder="1" applyAlignment="1">
      <alignment vertical="center"/>
    </xf>
    <xf numFmtId="43" fontId="15" fillId="0" borderId="50" xfId="6" applyFont="1" applyFill="1" applyBorder="1" applyAlignment="1">
      <alignment vertical="center"/>
    </xf>
    <xf numFmtId="167" fontId="19" fillId="0" borderId="51" xfId="4" applyNumberFormat="1" applyFont="1" applyFill="1" applyBorder="1" applyAlignment="1">
      <alignment vertical="center"/>
    </xf>
    <xf numFmtId="4" fontId="15" fillId="0" borderId="50" xfId="5" applyNumberFormat="1" applyFont="1" applyFill="1" applyBorder="1" applyAlignment="1" applyProtection="1">
      <alignment horizontal="right" vertical="center"/>
    </xf>
    <xf numFmtId="0" fontId="19" fillId="0" borderId="50" xfId="4" applyFont="1" applyFill="1" applyBorder="1" applyAlignment="1">
      <alignment horizontal="right" vertical="center"/>
    </xf>
    <xf numFmtId="4" fontId="16" fillId="0" borderId="50" xfId="4" applyNumberFormat="1" applyFont="1" applyFill="1" applyBorder="1" applyAlignment="1">
      <alignment horizontal="right" vertical="center"/>
    </xf>
    <xf numFmtId="2" fontId="16" fillId="0" borderId="50" xfId="5" applyNumberFormat="1" applyFont="1" applyFill="1" applyBorder="1" applyAlignment="1" applyProtection="1">
      <alignment horizontal="right" vertical="center"/>
    </xf>
    <xf numFmtId="10" fontId="15" fillId="0" borderId="50" xfId="6" applyNumberFormat="1" applyFont="1" applyFill="1" applyBorder="1" applyAlignment="1">
      <alignment horizontal="right" vertical="center"/>
    </xf>
    <xf numFmtId="10" fontId="16" fillId="0" borderId="50" xfId="6" applyNumberFormat="1" applyFont="1" applyFill="1" applyBorder="1" applyAlignment="1">
      <alignment horizontal="right" vertical="center"/>
    </xf>
    <xf numFmtId="0" fontId="26" fillId="0" borderId="50" xfId="4" applyFont="1" applyFill="1" applyBorder="1" applyAlignment="1">
      <alignment vertical="center"/>
    </xf>
    <xf numFmtId="43" fontId="29" fillId="0" borderId="64" xfId="8" applyNumberFormat="1" applyFont="1" applyFill="1" applyBorder="1" applyAlignment="1">
      <alignment vertical="center"/>
    </xf>
    <xf numFmtId="0" fontId="44" fillId="0" borderId="63" xfId="4" applyFont="1" applyFill="1" applyBorder="1" applyAlignment="1">
      <alignment horizontal="center"/>
    </xf>
    <xf numFmtId="0" fontId="4" fillId="0" borderId="63" xfId="4" applyFill="1" applyBorder="1" applyAlignment="1">
      <alignment horizontal="center"/>
    </xf>
    <xf numFmtId="166" fontId="5" fillId="0" borderId="50" xfId="5" applyNumberFormat="1" applyFont="1" applyFill="1" applyBorder="1" applyAlignment="1" applyProtection="1">
      <alignment horizontal="center" vertical="center"/>
    </xf>
    <xf numFmtId="166" fontId="15" fillId="0" borderId="50" xfId="5" applyNumberFormat="1" applyFont="1" applyFill="1" applyBorder="1" applyAlignment="1" applyProtection="1">
      <alignment horizontal="center" vertical="center"/>
    </xf>
    <xf numFmtId="167" fontId="15" fillId="0" borderId="51" xfId="4" applyNumberFormat="1" applyFont="1" applyFill="1" applyBorder="1" applyAlignment="1">
      <alignment vertical="center"/>
    </xf>
    <xf numFmtId="0" fontId="16" fillId="0" borderId="50" xfId="4" applyFont="1" applyFill="1" applyBorder="1" applyAlignment="1">
      <alignment horizontal="center" vertical="center"/>
    </xf>
    <xf numFmtId="167" fontId="16" fillId="0" borderId="51" xfId="4" applyNumberFormat="1" applyFont="1" applyFill="1" applyBorder="1" applyAlignment="1">
      <alignment vertical="center"/>
    </xf>
    <xf numFmtId="8" fontId="15" fillId="0" borderId="50" xfId="6" applyNumberFormat="1" applyFont="1" applyFill="1" applyBorder="1" applyAlignment="1">
      <alignment horizontal="center" vertical="center"/>
    </xf>
    <xf numFmtId="4" fontId="43" fillId="0" borderId="91" xfId="0" applyNumberFormat="1" applyFont="1" applyFill="1" applyBorder="1" applyAlignment="1">
      <alignment horizontal="center" vertical="center" wrapText="1"/>
    </xf>
    <xf numFmtId="4" fontId="43" fillId="0" borderId="15" xfId="0" applyNumberFormat="1" applyFont="1" applyFill="1" applyBorder="1" applyAlignment="1">
      <alignment horizontal="center" vertical="center" wrapText="1"/>
    </xf>
    <xf numFmtId="4" fontId="55" fillId="0" borderId="86" xfId="0" applyNumberFormat="1" applyFont="1" applyFill="1" applyBorder="1" applyAlignment="1">
      <alignment horizontal="center" vertical="center" wrapText="1"/>
    </xf>
    <xf numFmtId="4" fontId="55" fillId="0" borderId="91" xfId="0" applyNumberFormat="1" applyFont="1" applyFill="1" applyBorder="1" applyAlignment="1">
      <alignment horizontal="center" vertical="center" wrapText="1"/>
    </xf>
    <xf numFmtId="4" fontId="55" fillId="0" borderId="15" xfId="0" applyNumberFormat="1" applyFont="1" applyFill="1" applyBorder="1" applyAlignment="1">
      <alignment horizontal="center" vertical="center" wrapText="1"/>
    </xf>
    <xf numFmtId="4" fontId="43" fillId="0" borderId="92" xfId="0" applyNumberFormat="1" applyFont="1" applyFill="1" applyBorder="1" applyAlignment="1">
      <alignment horizontal="center" vertical="center" wrapText="1"/>
    </xf>
    <xf numFmtId="4" fontId="43" fillId="0" borderId="93" xfId="0" applyNumberFormat="1" applyFont="1" applyFill="1" applyBorder="1" applyAlignment="1">
      <alignment horizontal="center" vertical="center" wrapText="1"/>
    </xf>
    <xf numFmtId="4" fontId="43" fillId="0" borderId="21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8" fillId="11" borderId="158" xfId="0" applyFont="1" applyFill="1" applyBorder="1" applyAlignment="1">
      <alignment vertical="center" wrapText="1"/>
    </xf>
    <xf numFmtId="0" fontId="48" fillId="11" borderId="5" xfId="0" applyFont="1" applyFill="1" applyBorder="1" applyAlignment="1">
      <alignment vertical="center" wrapText="1"/>
    </xf>
    <xf numFmtId="0" fontId="48" fillId="11" borderId="22" xfId="0" applyFont="1" applyFill="1" applyBorder="1" applyAlignment="1">
      <alignment vertical="center" wrapText="1"/>
    </xf>
    <xf numFmtId="0" fontId="0" fillId="11" borderId="157" xfId="0" applyFill="1" applyBorder="1" applyAlignment="1">
      <alignment vertical="center" wrapText="1"/>
    </xf>
    <xf numFmtId="0" fontId="0" fillId="11" borderId="14" xfId="0" applyFill="1" applyBorder="1" applyAlignment="1">
      <alignment vertical="center" wrapText="1"/>
    </xf>
    <xf numFmtId="0" fontId="0" fillId="11" borderId="29" xfId="0" applyFill="1" applyBorder="1" applyAlignment="1">
      <alignment vertical="center" wrapText="1"/>
    </xf>
    <xf numFmtId="0" fontId="0" fillId="11" borderId="158" xfId="0" applyFill="1" applyBorder="1" applyAlignment="1">
      <alignment horizontal="center" vertical="center"/>
    </xf>
    <xf numFmtId="8" fontId="49" fillId="11" borderId="159" xfId="1" applyNumberFormat="1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8" fontId="49" fillId="11" borderId="155" xfId="1" applyNumberFormat="1" applyFon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8" fontId="49" fillId="11" borderId="156" xfId="1" applyNumberFormat="1" applyFont="1" applyFill="1" applyBorder="1" applyAlignment="1">
      <alignment horizontal="center" vertical="center"/>
    </xf>
    <xf numFmtId="0" fontId="30" fillId="13" borderId="24" xfId="0" applyFont="1" applyFill="1" applyBorder="1" applyAlignment="1" applyProtection="1">
      <alignment horizontal="right" vertical="center"/>
      <protection locked="0"/>
    </xf>
    <xf numFmtId="0" fontId="30" fillId="13" borderId="25" xfId="0" applyFont="1" applyFill="1" applyBorder="1" applyAlignment="1" applyProtection="1">
      <alignment horizontal="right" vertical="center"/>
      <protection locked="0"/>
    </xf>
    <xf numFmtId="0" fontId="30" fillId="13" borderId="25" xfId="0" applyFont="1" applyFill="1" applyBorder="1" applyAlignment="1" applyProtection="1">
      <alignment horizontal="center" vertical="center"/>
      <protection locked="0"/>
    </xf>
    <xf numFmtId="43" fontId="30" fillId="13" borderId="193" xfId="1" applyFont="1" applyFill="1" applyBorder="1" applyAlignment="1" applyProtection="1">
      <alignment horizontal="center" vertical="center"/>
      <protection locked="0"/>
    </xf>
    <xf numFmtId="0" fontId="19" fillId="7" borderId="33" xfId="4" applyFont="1" applyFill="1" applyBorder="1" applyAlignment="1">
      <alignment horizontal="left" vertical="center" wrapText="1"/>
    </xf>
    <xf numFmtId="0" fontId="19" fillId="7" borderId="34" xfId="4" applyFont="1" applyFill="1" applyBorder="1" applyAlignment="1">
      <alignment horizontal="left" vertical="center"/>
    </xf>
    <xf numFmtId="164" fontId="56" fillId="13" borderId="23" xfId="2" applyNumberFormat="1" applyFont="1" applyFill="1" applyBorder="1" applyAlignment="1" applyProtection="1">
      <alignment horizontal="center" vertical="center"/>
      <protection locked="0"/>
    </xf>
    <xf numFmtId="0" fontId="57" fillId="9" borderId="0" xfId="0" applyFont="1" applyFill="1" applyAlignment="1" applyProtection="1">
      <alignment vertical="center"/>
      <protection locked="0"/>
    </xf>
    <xf numFmtId="164" fontId="57" fillId="9" borderId="0" xfId="0" applyNumberFormat="1" applyFont="1" applyFill="1" applyAlignment="1" applyProtection="1">
      <alignment vertical="center"/>
      <protection locked="0"/>
    </xf>
    <xf numFmtId="0" fontId="41" fillId="0" borderId="76" xfId="0" applyFont="1" applyFill="1" applyBorder="1" applyAlignment="1">
      <alignment horizontal="center" vertical="center" wrapText="1"/>
    </xf>
    <xf numFmtId="0" fontId="41" fillId="0" borderId="76" xfId="0" applyFont="1" applyFill="1" applyBorder="1" applyAlignment="1">
      <alignment horizontal="left" vertical="center" wrapText="1"/>
    </xf>
    <xf numFmtId="17" fontId="41" fillId="0" borderId="76" xfId="0" applyNumberFormat="1" applyFont="1" applyFill="1" applyBorder="1" applyAlignment="1">
      <alignment horizontal="center" vertical="center" wrapText="1"/>
    </xf>
    <xf numFmtId="17" fontId="41" fillId="0" borderId="73" xfId="0" applyNumberFormat="1" applyFont="1" applyFill="1" applyBorder="1" applyAlignment="1">
      <alignment horizontal="center" vertical="center" wrapText="1"/>
    </xf>
    <xf numFmtId="17" fontId="41" fillId="0" borderId="85" xfId="0" applyNumberFormat="1" applyFont="1" applyFill="1" applyBorder="1" applyAlignment="1">
      <alignment horizontal="center" vertical="center" wrapText="1"/>
    </xf>
    <xf numFmtId="0" fontId="41" fillId="0" borderId="74" xfId="0" applyFont="1" applyFill="1" applyBorder="1" applyAlignment="1">
      <alignment horizontal="center" vertical="center" wrapText="1"/>
    </xf>
    <xf numFmtId="175" fontId="59" fillId="0" borderId="74" xfId="0" applyNumberFormat="1" applyFont="1" applyFill="1" applyBorder="1" applyAlignment="1">
      <alignment horizontal="center" vertical="center" wrapText="1"/>
    </xf>
    <xf numFmtId="175" fontId="59" fillId="0" borderId="74" xfId="0" applyNumberFormat="1" applyFont="1" applyFill="1" applyBorder="1" applyAlignment="1">
      <alignment horizontal="left" vertical="center" wrapText="1"/>
    </xf>
    <xf numFmtId="175" fontId="59" fillId="3" borderId="74" xfId="0" applyNumberFormat="1" applyFont="1" applyFill="1" applyBorder="1" applyAlignment="1">
      <alignment horizontal="center" vertical="center" wrapText="1"/>
    </xf>
    <xf numFmtId="175" fontId="59" fillId="0" borderId="87" xfId="0" applyNumberFormat="1" applyFont="1" applyFill="1" applyBorder="1" applyAlignment="1">
      <alignment horizontal="left" vertical="center" wrapText="1"/>
    </xf>
    <xf numFmtId="175" fontId="59" fillId="0" borderId="88" xfId="0" applyNumberFormat="1" applyFont="1" applyFill="1" applyBorder="1" applyAlignment="1">
      <alignment horizontal="left" vertical="center" wrapText="1"/>
    </xf>
    <xf numFmtId="0" fontId="41" fillId="0" borderId="75" xfId="0" applyFont="1" applyFill="1" applyBorder="1" applyAlignment="1">
      <alignment horizontal="center" vertical="center" wrapText="1"/>
    </xf>
    <xf numFmtId="176" fontId="59" fillId="0" borderId="75" xfId="0" applyNumberFormat="1" applyFont="1" applyFill="1" applyBorder="1" applyAlignment="1">
      <alignment horizontal="center" vertical="center" wrapText="1"/>
    </xf>
    <xf numFmtId="176" fontId="59" fillId="0" borderId="75" xfId="0" applyNumberFormat="1" applyFont="1" applyFill="1" applyBorder="1" applyAlignment="1">
      <alignment horizontal="left" vertical="center" wrapText="1"/>
    </xf>
    <xf numFmtId="176" fontId="59" fillId="0" borderId="75" xfId="0" applyNumberFormat="1" applyFont="1" applyFill="1" applyBorder="1" applyAlignment="1">
      <alignment horizontal="right" vertical="center" wrapText="1"/>
    </xf>
    <xf numFmtId="176" fontId="59" fillId="3" borderId="75" xfId="0" applyNumberFormat="1" applyFont="1" applyFill="1" applyBorder="1" applyAlignment="1">
      <alignment horizontal="right" vertical="center" wrapText="1"/>
    </xf>
    <xf numFmtId="176" fontId="59" fillId="0" borderId="89" xfId="0" applyNumberFormat="1" applyFont="1" applyFill="1" applyBorder="1" applyAlignment="1">
      <alignment horizontal="right" vertical="center" wrapText="1"/>
    </xf>
    <xf numFmtId="176" fontId="59" fillId="0" borderId="90" xfId="0" applyNumberFormat="1" applyFont="1" applyFill="1" applyBorder="1" applyAlignment="1">
      <alignment horizontal="right" vertical="center" wrapText="1"/>
    </xf>
    <xf numFmtId="0" fontId="60" fillId="0" borderId="74" xfId="0" applyFont="1" applyFill="1" applyBorder="1" applyAlignment="1">
      <alignment horizontal="left" vertical="center" wrapText="1"/>
    </xf>
    <xf numFmtId="0" fontId="60" fillId="0" borderId="86" xfId="0" applyFont="1" applyFill="1" applyBorder="1" applyAlignment="1">
      <alignment horizontal="left" vertical="center" wrapText="1"/>
    </xf>
    <xf numFmtId="0" fontId="60" fillId="0" borderId="75" xfId="0" applyFont="1" applyFill="1" applyBorder="1" applyAlignment="1">
      <alignment horizontal="left" vertical="center" wrapText="1"/>
    </xf>
    <xf numFmtId="10" fontId="51" fillId="9" borderId="0" xfId="3" applyNumberFormat="1" applyFont="1" applyFill="1" applyAlignment="1" applyProtection="1">
      <alignment vertical="center"/>
      <protection locked="0"/>
    </xf>
    <xf numFmtId="10" fontId="57" fillId="9" borderId="0" xfId="3" applyNumberFormat="1" applyFont="1" applyFill="1" applyAlignment="1" applyProtection="1">
      <alignment vertical="center"/>
      <protection locked="0"/>
    </xf>
    <xf numFmtId="10" fontId="51" fillId="9" borderId="0" xfId="0" applyNumberFormat="1" applyFont="1" applyFill="1" applyAlignment="1" applyProtection="1">
      <alignment vertical="center"/>
      <protection locked="0"/>
    </xf>
    <xf numFmtId="0" fontId="0" fillId="0" borderId="196" xfId="0" applyBorder="1"/>
    <xf numFmtId="0" fontId="0" fillId="2" borderId="196" xfId="0" applyFill="1" applyBorder="1"/>
    <xf numFmtId="0" fontId="5" fillId="0" borderId="196" xfId="4" applyFont="1" applyFill="1" applyBorder="1" applyAlignment="1">
      <alignment vertical="center"/>
    </xf>
    <xf numFmtId="0" fontId="58" fillId="0" borderId="74" xfId="0" applyFont="1" applyFill="1" applyBorder="1" applyAlignment="1">
      <alignment horizontal="left" vertical="center" wrapText="1"/>
    </xf>
    <xf numFmtId="0" fontId="58" fillId="0" borderId="86" xfId="0" applyFont="1" applyFill="1" applyBorder="1" applyAlignment="1">
      <alignment horizontal="left" vertical="center" wrapText="1"/>
    </xf>
    <xf numFmtId="0" fontId="58" fillId="0" borderId="75" xfId="0" applyFont="1" applyFill="1" applyBorder="1" applyAlignment="1">
      <alignment horizontal="left" vertical="center" wrapText="1"/>
    </xf>
    <xf numFmtId="0" fontId="8" fillId="2" borderId="156" xfId="0" applyFont="1" applyFill="1" applyBorder="1" applyAlignment="1" applyProtection="1">
      <alignment horizontal="left" vertical="center"/>
      <protection locked="0"/>
    </xf>
    <xf numFmtId="178" fontId="8" fillId="2" borderId="29" xfId="2" applyNumberFormat="1" applyFont="1" applyFill="1" applyBorder="1" applyAlignment="1" applyProtection="1">
      <alignment vertical="center"/>
      <protection locked="0"/>
    </xf>
    <xf numFmtId="43" fontId="16" fillId="0" borderId="66" xfId="6" applyFont="1" applyBorder="1" applyAlignment="1">
      <alignment horizontal="center"/>
    </xf>
    <xf numFmtId="43" fontId="16" fillId="0" borderId="201" xfId="6" applyFont="1" applyFill="1" applyBorder="1" applyAlignment="1">
      <alignment horizontal="center" vertical="center"/>
    </xf>
    <xf numFmtId="43" fontId="16" fillId="0" borderId="202" xfId="6" applyNumberFormat="1" applyFont="1" applyFill="1" applyBorder="1" applyAlignment="1">
      <alignment vertical="center"/>
    </xf>
    <xf numFmtId="43" fontId="15" fillId="0" borderId="64" xfId="6" applyFill="1" applyBorder="1" applyAlignment="1">
      <alignment horizontal="center"/>
    </xf>
    <xf numFmtId="43" fontId="15" fillId="0" borderId="69" xfId="6" applyFill="1" applyBorder="1" applyAlignment="1">
      <alignment horizontal="center"/>
    </xf>
    <xf numFmtId="0" fontId="60" fillId="0" borderId="74" xfId="0" applyFont="1" applyFill="1" applyBorder="1" applyAlignment="1">
      <alignment horizontal="center" vertical="center" wrapText="1"/>
    </xf>
    <xf numFmtId="0" fontId="60" fillId="0" borderId="86" xfId="0" applyFont="1" applyFill="1" applyBorder="1" applyAlignment="1">
      <alignment horizontal="center" vertical="center" wrapText="1"/>
    </xf>
    <xf numFmtId="0" fontId="60" fillId="0" borderId="75" xfId="0" applyFont="1" applyFill="1" applyBorder="1" applyAlignment="1">
      <alignment horizontal="center" vertical="center" wrapText="1"/>
    </xf>
    <xf numFmtId="10" fontId="63" fillId="0" borderId="74" xfId="0" applyNumberFormat="1" applyFont="1" applyFill="1" applyBorder="1" applyAlignment="1">
      <alignment horizontal="center" vertical="center" wrapText="1"/>
    </xf>
    <xf numFmtId="0" fontId="62" fillId="0" borderId="94" xfId="0" applyFont="1" applyFill="1" applyBorder="1" applyAlignment="1">
      <alignment horizontal="left" vertical="center" wrapText="1"/>
    </xf>
    <xf numFmtId="10" fontId="63" fillId="0" borderId="86" xfId="0" applyNumberFormat="1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1" fillId="0" borderId="86" xfId="0" applyFont="1" applyFill="1" applyBorder="1" applyAlignment="1">
      <alignment horizontal="left" vertical="center" wrapText="1"/>
    </xf>
    <xf numFmtId="0" fontId="61" fillId="0" borderId="75" xfId="0" applyFont="1" applyFill="1" applyBorder="1" applyAlignment="1">
      <alignment horizontal="left" vertical="center" wrapText="1"/>
    </xf>
    <xf numFmtId="10" fontId="63" fillId="0" borderId="75" xfId="0" applyNumberFormat="1" applyFont="1" applyFill="1" applyBorder="1" applyAlignment="1">
      <alignment horizontal="center" vertical="center" wrapText="1"/>
    </xf>
    <xf numFmtId="0" fontId="64" fillId="0" borderId="74" xfId="0" applyFont="1" applyFill="1" applyBorder="1" applyAlignment="1">
      <alignment horizontal="left" vertical="center" wrapText="1"/>
    </xf>
    <xf numFmtId="0" fontId="64" fillId="0" borderId="86" xfId="0" applyFont="1" applyFill="1" applyBorder="1" applyAlignment="1">
      <alignment horizontal="left" vertical="center" wrapText="1"/>
    </xf>
    <xf numFmtId="0" fontId="41" fillId="0" borderId="87" xfId="0" applyFont="1" applyFill="1" applyBorder="1" applyAlignment="1">
      <alignment horizontal="left" vertical="center" wrapText="1"/>
    </xf>
    <xf numFmtId="0" fontId="58" fillId="0" borderId="91" xfId="0" applyFont="1" applyFill="1" applyBorder="1" applyAlignment="1">
      <alignment horizontal="left" vertical="top" wrapText="1"/>
    </xf>
    <xf numFmtId="0" fontId="58" fillId="0" borderId="89" xfId="0" applyFont="1" applyFill="1" applyBorder="1" applyAlignment="1">
      <alignment horizontal="left" vertical="top" wrapText="1"/>
    </xf>
    <xf numFmtId="0" fontId="66" fillId="0" borderId="0" xfId="0" applyFont="1"/>
    <xf numFmtId="0" fontId="45" fillId="0" borderId="0" xfId="8" applyFont="1" applyFill="1" applyBorder="1" applyAlignment="1">
      <alignment vertical="center"/>
    </xf>
    <xf numFmtId="43" fontId="15" fillId="0" borderId="171" xfId="6" applyBorder="1" applyAlignment="1">
      <alignment horizontal="center"/>
    </xf>
    <xf numFmtId="43" fontId="29" fillId="0" borderId="69" xfId="6" applyFont="1" applyBorder="1" applyAlignment="1">
      <alignment vertical="center"/>
    </xf>
    <xf numFmtId="43" fontId="15" fillId="0" borderId="68" xfId="6" applyBorder="1" applyAlignment="1">
      <alignment horizontal="center"/>
    </xf>
    <xf numFmtId="43" fontId="16" fillId="0" borderId="65" xfId="6" applyFont="1" applyBorder="1" applyAlignment="1">
      <alignment horizontal="center"/>
    </xf>
    <xf numFmtId="43" fontId="15" fillId="0" borderId="70" xfId="6" applyFill="1" applyBorder="1" applyAlignment="1">
      <alignment horizontal="center"/>
    </xf>
    <xf numFmtId="10" fontId="15" fillId="0" borderId="0" xfId="3" applyNumberFormat="1" applyFont="1" applyBorder="1"/>
    <xf numFmtId="43" fontId="15" fillId="0" borderId="0" xfId="8" applyNumberFormat="1" applyFont="1" applyBorder="1" applyAlignment="1">
      <alignment vertical="center"/>
    </xf>
    <xf numFmtId="17" fontId="41" fillId="3" borderId="76" xfId="0" applyNumberFormat="1" applyFont="1" applyFill="1" applyBorder="1" applyAlignment="1">
      <alignment horizontal="center" vertical="center" wrapText="1"/>
    </xf>
    <xf numFmtId="0" fontId="15" fillId="0" borderId="203" xfId="8" applyFill="1" applyBorder="1" applyAlignment="1">
      <alignment horizontal="center"/>
    </xf>
    <xf numFmtId="0" fontId="15" fillId="0" borderId="203" xfId="8" applyFill="1" applyBorder="1"/>
    <xf numFmtId="43" fontId="15" fillId="0" borderId="203" xfId="1" applyFont="1" applyFill="1" applyBorder="1"/>
    <xf numFmtId="4" fontId="6" fillId="2" borderId="198" xfId="1" applyNumberFormat="1" applyFont="1" applyFill="1" applyBorder="1" applyAlignment="1" applyProtection="1">
      <alignment horizontal="center" vertical="center"/>
      <protection locked="0"/>
    </xf>
    <xf numFmtId="4" fontId="6" fillId="9" borderId="197" xfId="1" applyNumberFormat="1" applyFont="1" applyFill="1" applyBorder="1" applyAlignment="1" applyProtection="1">
      <alignment horizontal="center" vertical="center"/>
      <protection locked="0"/>
    </xf>
    <xf numFmtId="4" fontId="6" fillId="9" borderId="198" xfId="1" applyNumberFormat="1" applyFont="1" applyFill="1" applyBorder="1" applyAlignment="1" applyProtection="1">
      <alignment horizontal="center" vertical="center"/>
      <protection locked="0"/>
    </xf>
    <xf numFmtId="4" fontId="6" fillId="2" borderId="197" xfId="1" applyNumberFormat="1" applyFont="1" applyFill="1" applyBorder="1" applyAlignment="1" applyProtection="1">
      <alignment horizontal="center" vertical="center"/>
      <protection locked="0"/>
    </xf>
    <xf numFmtId="164" fontId="67" fillId="13" borderId="13" xfId="0" applyNumberFormat="1" applyFont="1" applyFill="1" applyBorder="1" applyAlignment="1" applyProtection="1">
      <alignment horizontal="center" vertical="center"/>
      <protection locked="0"/>
    </xf>
    <xf numFmtId="164" fontId="67" fillId="13" borderId="20" xfId="0" applyNumberFormat="1" applyFont="1" applyFill="1" applyBorder="1" applyAlignment="1" applyProtection="1">
      <alignment horizontal="center" vertical="center"/>
      <protection locked="0"/>
    </xf>
    <xf numFmtId="164" fontId="67" fillId="13" borderId="23" xfId="0" applyNumberFormat="1" applyFont="1" applyFill="1" applyBorder="1" applyAlignment="1" applyProtection="1">
      <alignment horizontal="center" vertical="center"/>
      <protection locked="0"/>
    </xf>
    <xf numFmtId="164" fontId="67" fillId="13" borderId="163" xfId="0" applyNumberFormat="1" applyFont="1" applyFill="1" applyBorder="1" applyAlignment="1" applyProtection="1">
      <alignment horizontal="center" vertical="center"/>
      <protection locked="0"/>
    </xf>
    <xf numFmtId="0" fontId="30" fillId="13" borderId="20" xfId="0" applyFont="1" applyFill="1" applyBorder="1" applyAlignment="1" applyProtection="1">
      <alignment horizontal="center" vertical="center" wrapText="1"/>
      <protection locked="0"/>
    </xf>
    <xf numFmtId="0" fontId="30" fillId="13" borderId="23" xfId="0" applyFont="1" applyFill="1" applyBorder="1" applyAlignment="1" applyProtection="1">
      <alignment horizontal="center" vertical="center" wrapText="1"/>
      <protection locked="0"/>
    </xf>
    <xf numFmtId="0" fontId="30" fillId="13" borderId="13" xfId="0" applyFont="1" applyFill="1" applyBorder="1" applyAlignment="1" applyProtection="1">
      <alignment horizontal="center" vertical="center" wrapText="1"/>
      <protection locked="0"/>
    </xf>
    <xf numFmtId="0" fontId="8" fillId="13" borderId="6" xfId="0" applyFont="1" applyFill="1" applyBorder="1" applyAlignment="1" applyProtection="1">
      <alignment horizontal="center" vertic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8" xfId="0" applyFont="1" applyFill="1" applyBorder="1" applyAlignment="1" applyProtection="1">
      <alignment horizontal="center" vertical="center"/>
      <protection locked="0"/>
    </xf>
    <xf numFmtId="0" fontId="8" fillId="13" borderId="9" xfId="0" applyFont="1" applyFill="1" applyBorder="1" applyAlignment="1" applyProtection="1">
      <alignment horizontal="center" vertical="center"/>
      <protection locked="0"/>
    </xf>
    <xf numFmtId="0" fontId="8" fillId="13" borderId="14" xfId="0" applyFont="1" applyFill="1" applyBorder="1" applyAlignment="1" applyProtection="1">
      <alignment horizontal="center" vertical="center"/>
      <protection locked="0"/>
    </xf>
    <xf numFmtId="0" fontId="8" fillId="13" borderId="17" xfId="0" applyFont="1" applyFill="1" applyBorder="1" applyAlignment="1" applyProtection="1">
      <alignment horizontal="center" vertical="center"/>
      <protection locked="0"/>
    </xf>
    <xf numFmtId="0" fontId="8" fillId="13" borderId="10" xfId="0" applyFont="1" applyFill="1" applyBorder="1" applyAlignment="1" applyProtection="1">
      <alignment horizontal="center" vertical="center"/>
      <protection locked="0"/>
    </xf>
    <xf numFmtId="0" fontId="8" fillId="13" borderId="15" xfId="0" applyFont="1" applyFill="1" applyBorder="1" applyAlignment="1" applyProtection="1">
      <alignment horizontal="center" vertical="center"/>
      <protection locked="0"/>
    </xf>
    <xf numFmtId="0" fontId="8" fillId="13" borderId="11" xfId="0" applyFont="1" applyFill="1" applyBorder="1" applyAlignment="1" applyProtection="1">
      <alignment horizontal="center" vertical="center"/>
      <protection locked="0"/>
    </xf>
    <xf numFmtId="0" fontId="8" fillId="13" borderId="5" xfId="0" applyFont="1" applyFill="1" applyBorder="1" applyAlignment="1" applyProtection="1">
      <alignment horizontal="center" vertical="center"/>
      <protection locked="0"/>
    </xf>
    <xf numFmtId="0" fontId="8" fillId="13" borderId="18" xfId="0" applyFont="1" applyFill="1" applyBorder="1" applyAlignment="1" applyProtection="1">
      <alignment horizontal="center" vertical="center"/>
      <protection locked="0"/>
    </xf>
    <xf numFmtId="0" fontId="8" fillId="13" borderId="12" xfId="0" applyFont="1" applyFill="1" applyBorder="1" applyAlignment="1" applyProtection="1">
      <alignment horizontal="center" vertical="center" wrapText="1"/>
      <protection locked="0"/>
    </xf>
    <xf numFmtId="0" fontId="8" fillId="13" borderId="16" xfId="0" applyFont="1" applyFill="1" applyBorder="1" applyAlignment="1" applyProtection="1">
      <alignment horizontal="center" vertical="center" wrapText="1"/>
      <protection locked="0"/>
    </xf>
    <xf numFmtId="0" fontId="8" fillId="13" borderId="2" xfId="0" applyFont="1" applyFill="1" applyBorder="1" applyAlignment="1" applyProtection="1">
      <alignment horizontal="center" vertical="center" wrapText="1"/>
      <protection locked="0"/>
    </xf>
    <xf numFmtId="0" fontId="8" fillId="13" borderId="13" xfId="0" applyFont="1" applyFill="1" applyBorder="1" applyAlignment="1" applyProtection="1">
      <alignment horizontal="center" vertical="center" wrapText="1"/>
      <protection locked="0"/>
    </xf>
    <xf numFmtId="0" fontId="8" fillId="13" borderId="20" xfId="0" applyFont="1" applyFill="1" applyBorder="1" applyAlignment="1" applyProtection="1">
      <alignment horizontal="center" vertical="center" wrapText="1"/>
      <protection locked="0"/>
    </xf>
    <xf numFmtId="0" fontId="30" fillId="13" borderId="163" xfId="0" applyFont="1" applyFill="1" applyBorder="1" applyAlignment="1" applyProtection="1">
      <alignment horizontal="center" vertical="center" wrapText="1"/>
      <protection locked="0"/>
    </xf>
    <xf numFmtId="0" fontId="12" fillId="2" borderId="197" xfId="0" applyFont="1" applyFill="1" applyBorder="1" applyAlignment="1" applyProtection="1">
      <alignment horizontal="center" vertical="center" wrapText="1"/>
      <protection locked="0"/>
    </xf>
    <xf numFmtId="0" fontId="9" fillId="9" borderId="199" xfId="0" applyFont="1" applyFill="1" applyBorder="1" applyAlignment="1" applyProtection="1">
      <alignment horizontal="center" vertical="center"/>
      <protection locked="0"/>
    </xf>
    <xf numFmtId="0" fontId="9" fillId="9" borderId="200" xfId="0" applyFont="1" applyFill="1" applyBorder="1" applyAlignment="1" applyProtection="1">
      <alignment horizontal="center" vertical="center"/>
      <protection locked="0"/>
    </xf>
    <xf numFmtId="0" fontId="12" fillId="2" borderId="198" xfId="0" applyFont="1" applyFill="1" applyBorder="1" applyAlignment="1" applyProtection="1">
      <alignment horizontal="center" vertical="center"/>
      <protection locked="0"/>
    </xf>
    <xf numFmtId="43" fontId="29" fillId="0" borderId="62" xfId="8" applyNumberFormat="1" applyFont="1" applyBorder="1" applyAlignment="1">
      <alignment horizontal="center"/>
    </xf>
    <xf numFmtId="43" fontId="29" fillId="0" borderId="63" xfId="8" applyNumberFormat="1" applyFont="1" applyBorder="1" applyAlignment="1">
      <alignment horizontal="center"/>
    </xf>
    <xf numFmtId="0" fontId="27" fillId="0" borderId="67" xfId="8" applyFont="1" applyBorder="1" applyAlignment="1">
      <alignment horizontal="center"/>
    </xf>
    <xf numFmtId="0" fontId="27" fillId="0" borderId="68" xfId="8" applyFont="1" applyBorder="1" applyAlignment="1">
      <alignment horizontal="center"/>
    </xf>
    <xf numFmtId="0" fontId="29" fillId="0" borderId="62" xfId="8" applyFont="1" applyBorder="1" applyAlignment="1">
      <alignment horizontal="center"/>
    </xf>
    <xf numFmtId="0" fontId="29" fillId="0" borderId="63" xfId="8" applyFont="1" applyBorder="1" applyAlignment="1">
      <alignment horizontal="center"/>
    </xf>
    <xf numFmtId="0" fontId="29" fillId="3" borderId="62" xfId="8" applyFont="1" applyFill="1" applyBorder="1" applyAlignment="1">
      <alignment horizontal="center"/>
    </xf>
    <xf numFmtId="0" fontId="29" fillId="3" borderId="63" xfId="8" applyFont="1" applyFill="1" applyBorder="1" applyAlignment="1">
      <alignment horizontal="center"/>
    </xf>
    <xf numFmtId="0" fontId="18" fillId="6" borderId="56" xfId="4" applyFont="1" applyFill="1" applyBorder="1" applyAlignment="1">
      <alignment horizontal="center" vertical="center"/>
    </xf>
    <xf numFmtId="0" fontId="28" fillId="0" borderId="57" xfId="8" applyFont="1" applyBorder="1" applyAlignment="1">
      <alignment horizontal="center"/>
    </xf>
    <xf numFmtId="0" fontId="28" fillId="0" borderId="58" xfId="8" applyFont="1" applyBorder="1" applyAlignment="1">
      <alignment horizontal="center"/>
    </xf>
    <xf numFmtId="0" fontId="19" fillId="10" borderId="54" xfId="4" applyFont="1" applyFill="1" applyBorder="1" applyAlignment="1">
      <alignment horizontal="center" vertical="center"/>
    </xf>
    <xf numFmtId="0" fontId="18" fillId="6" borderId="30" xfId="4" applyFont="1" applyFill="1" applyBorder="1" applyAlignment="1">
      <alignment horizontal="center" vertical="center"/>
    </xf>
    <xf numFmtId="0" fontId="18" fillId="6" borderId="31" xfId="4" applyFont="1" applyFill="1" applyBorder="1" applyAlignment="1">
      <alignment horizontal="center" vertical="center"/>
    </xf>
    <xf numFmtId="0" fontId="18" fillId="6" borderId="32" xfId="4" applyFont="1" applyFill="1" applyBorder="1" applyAlignment="1">
      <alignment horizontal="center" vertical="center"/>
    </xf>
    <xf numFmtId="0" fontId="19" fillId="7" borderId="34" xfId="4" applyFont="1" applyFill="1" applyBorder="1" applyAlignment="1">
      <alignment horizontal="center" vertical="center" wrapText="1"/>
    </xf>
    <xf numFmtId="0" fontId="19" fillId="7" borderId="34" xfId="4" applyFont="1" applyFill="1" applyBorder="1" applyAlignment="1">
      <alignment horizontal="center" vertical="center"/>
    </xf>
    <xf numFmtId="0" fontId="19" fillId="7" borderId="35" xfId="4" applyFont="1" applyFill="1" applyBorder="1" applyAlignment="1">
      <alignment horizontal="center" vertical="center"/>
    </xf>
    <xf numFmtId="0" fontId="19" fillId="7" borderId="36" xfId="4" applyFont="1" applyFill="1" applyBorder="1" applyAlignment="1">
      <alignment horizontal="center" vertical="center"/>
    </xf>
    <xf numFmtId="0" fontId="19" fillId="7" borderId="37" xfId="4" applyFont="1" applyFill="1" applyBorder="1" applyAlignment="1">
      <alignment horizontal="center" vertical="center"/>
    </xf>
    <xf numFmtId="0" fontId="19" fillId="7" borderId="40" xfId="4" applyFont="1" applyFill="1" applyBorder="1" applyAlignment="1">
      <alignment horizontal="center" vertical="center"/>
    </xf>
    <xf numFmtId="0" fontId="19" fillId="7" borderId="41" xfId="4" applyFont="1" applyFill="1" applyBorder="1" applyAlignment="1">
      <alignment horizontal="center" vertical="center"/>
    </xf>
    <xf numFmtId="165" fontId="19" fillId="0" borderId="38" xfId="4" applyNumberFormat="1" applyFont="1" applyFill="1" applyBorder="1" applyAlignment="1">
      <alignment horizontal="center" vertical="center"/>
    </xf>
    <xf numFmtId="165" fontId="19" fillId="0" borderId="39" xfId="4" applyNumberFormat="1" applyFont="1" applyFill="1" applyBorder="1" applyAlignment="1">
      <alignment horizontal="center" vertical="center"/>
    </xf>
    <xf numFmtId="0" fontId="19" fillId="7" borderId="132" xfId="4" applyFont="1" applyFill="1" applyBorder="1" applyAlignment="1">
      <alignment horizontal="left" vertical="center" wrapText="1"/>
    </xf>
    <xf numFmtId="0" fontId="19" fillId="7" borderId="133" xfId="4" applyFont="1" applyFill="1" applyBorder="1" applyAlignment="1">
      <alignment horizontal="left" vertical="center" wrapText="1"/>
    </xf>
    <xf numFmtId="0" fontId="19" fillId="7" borderId="194" xfId="4" applyFont="1" applyFill="1" applyBorder="1" applyAlignment="1">
      <alignment horizontal="left" vertical="center"/>
    </xf>
    <xf numFmtId="0" fontId="19" fillId="7" borderId="195" xfId="4" applyFont="1" applyFill="1" applyBorder="1" applyAlignment="1">
      <alignment horizontal="left" vertical="center"/>
    </xf>
    <xf numFmtId="0" fontId="46" fillId="0" borderId="16" xfId="8" applyFont="1" applyBorder="1" applyAlignment="1">
      <alignment horizontal="center" vertical="center"/>
    </xf>
    <xf numFmtId="0" fontId="46" fillId="0" borderId="72" xfId="8" applyFont="1" applyBorder="1" applyAlignment="1">
      <alignment horizontal="center" vertical="center"/>
    </xf>
    <xf numFmtId="0" fontId="46" fillId="0" borderId="19" xfId="8" applyFont="1" applyBorder="1" applyAlignment="1">
      <alignment horizontal="center" vertical="center"/>
    </xf>
    <xf numFmtId="0" fontId="45" fillId="17" borderId="101" xfId="8" applyFont="1" applyFill="1" applyBorder="1" applyAlignment="1">
      <alignment horizontal="center" vertical="center"/>
    </xf>
    <xf numFmtId="0" fontId="45" fillId="17" borderId="102" xfId="8" applyFont="1" applyFill="1" applyBorder="1" applyAlignment="1">
      <alignment horizontal="center" vertical="center"/>
    </xf>
    <xf numFmtId="0" fontId="28" fillId="14" borderId="97" xfId="8" applyFont="1" applyFill="1" applyBorder="1" applyAlignment="1">
      <alignment horizontal="center" vertical="center"/>
    </xf>
    <xf numFmtId="0" fontId="28" fillId="14" borderId="98" xfId="8" applyFont="1" applyFill="1" applyBorder="1" applyAlignment="1">
      <alignment horizontal="center" vertical="center"/>
    </xf>
    <xf numFmtId="0" fontId="28" fillId="15" borderId="98" xfId="8" applyFont="1" applyFill="1" applyBorder="1" applyAlignment="1">
      <alignment horizontal="left" vertical="center" wrapText="1"/>
    </xf>
    <xf numFmtId="0" fontId="16" fillId="0" borderId="169" xfId="8" applyFont="1" applyBorder="1" applyAlignment="1">
      <alignment horizontal="center"/>
    </xf>
    <xf numFmtId="0" fontId="16" fillId="0" borderId="170" xfId="8" applyFont="1" applyBorder="1" applyAlignment="1">
      <alignment horizontal="center"/>
    </xf>
    <xf numFmtId="43" fontId="16" fillId="0" borderId="168" xfId="6" applyFont="1" applyBorder="1" applyAlignment="1">
      <alignment horizontal="center" vertical="center"/>
    </xf>
    <xf numFmtId="43" fontId="16" fillId="0" borderId="64" xfId="6" applyFont="1" applyBorder="1" applyAlignment="1">
      <alignment horizontal="center" vertical="center"/>
    </xf>
    <xf numFmtId="43" fontId="16" fillId="0" borderId="167" xfId="6" applyFont="1" applyBorder="1" applyAlignment="1">
      <alignment horizontal="center" vertical="center"/>
    </xf>
    <xf numFmtId="43" fontId="16" fillId="0" borderId="103" xfId="6" applyFont="1" applyBorder="1" applyAlignment="1">
      <alignment horizontal="center" vertical="center"/>
    </xf>
    <xf numFmtId="43" fontId="16" fillId="0" borderId="169" xfId="6" applyFont="1" applyBorder="1" applyAlignment="1">
      <alignment horizontal="center" vertical="center"/>
    </xf>
    <xf numFmtId="43" fontId="16" fillId="0" borderId="65" xfId="6" applyFont="1" applyBorder="1" applyAlignment="1">
      <alignment horizontal="center" vertical="center"/>
    </xf>
    <xf numFmtId="0" fontId="45" fillId="17" borderId="83" xfId="8" applyFont="1" applyFill="1" applyBorder="1" applyAlignment="1">
      <alignment horizontal="center" vertical="center"/>
    </xf>
    <xf numFmtId="0" fontId="45" fillId="17" borderId="164" xfId="8" applyFont="1" applyFill="1" applyBorder="1" applyAlignment="1">
      <alignment horizontal="center" vertical="center"/>
    </xf>
    <xf numFmtId="0" fontId="45" fillId="17" borderId="165" xfId="8" applyFont="1" applyFill="1" applyBorder="1" applyAlignment="1">
      <alignment horizontal="center" vertical="center"/>
    </xf>
    <xf numFmtId="43" fontId="27" fillId="0" borderId="62" xfId="8" applyNumberFormat="1" applyFont="1" applyBorder="1" applyAlignment="1">
      <alignment horizontal="center"/>
    </xf>
    <xf numFmtId="43" fontId="27" fillId="0" borderId="63" xfId="8" applyNumberFormat="1" applyFont="1" applyBorder="1" applyAlignment="1">
      <alignment horizontal="center"/>
    </xf>
    <xf numFmtId="0" fontId="27" fillId="0" borderId="62" xfId="8" applyFont="1" applyBorder="1" applyAlignment="1">
      <alignment horizontal="center"/>
    </xf>
    <xf numFmtId="0" fontId="27" fillId="0" borderId="63" xfId="8" applyFont="1" applyBorder="1" applyAlignment="1">
      <alignment horizontal="center"/>
    </xf>
    <xf numFmtId="0" fontId="27" fillId="3" borderId="62" xfId="8" applyFont="1" applyFill="1" applyBorder="1" applyAlignment="1">
      <alignment horizontal="center"/>
    </xf>
    <xf numFmtId="0" fontId="27" fillId="3" borderId="63" xfId="8" applyFont="1" applyFill="1" applyBorder="1" applyAlignment="1">
      <alignment horizontal="center"/>
    </xf>
    <xf numFmtId="0" fontId="16" fillId="0" borderId="169" xfId="8" applyFont="1" applyFill="1" applyBorder="1" applyAlignment="1">
      <alignment horizontal="center" vertical="center"/>
    </xf>
    <xf numFmtId="0" fontId="16" fillId="0" borderId="170" xfId="8" applyFont="1" applyFill="1" applyBorder="1" applyAlignment="1">
      <alignment horizontal="center" vertical="center"/>
    </xf>
    <xf numFmtId="0" fontId="28" fillId="15" borderId="124" xfId="8" applyFont="1" applyFill="1" applyBorder="1" applyAlignment="1">
      <alignment horizontal="left" vertical="center" wrapText="1"/>
    </xf>
    <xf numFmtId="0" fontId="18" fillId="6" borderId="104" xfId="4" applyFont="1" applyFill="1" applyBorder="1" applyAlignment="1">
      <alignment horizontal="center" vertical="center"/>
    </xf>
    <xf numFmtId="0" fontId="18" fillId="6" borderId="105" xfId="4" applyFont="1" applyFill="1" applyBorder="1" applyAlignment="1">
      <alignment horizontal="center" vertical="center"/>
    </xf>
    <xf numFmtId="0" fontId="18" fillId="6" borderId="106" xfId="4" applyFont="1" applyFill="1" applyBorder="1" applyAlignment="1">
      <alignment horizontal="center" vertical="center"/>
    </xf>
    <xf numFmtId="0" fontId="19" fillId="7" borderId="107" xfId="4" applyFont="1" applyFill="1" applyBorder="1" applyAlignment="1">
      <alignment horizontal="center" vertical="center" wrapText="1"/>
    </xf>
    <xf numFmtId="0" fontId="19" fillId="7" borderId="107" xfId="4" applyFont="1" applyFill="1" applyBorder="1" applyAlignment="1">
      <alignment horizontal="center" vertical="center"/>
    </xf>
    <xf numFmtId="0" fontId="19" fillId="7" borderId="108" xfId="4" applyFont="1" applyFill="1" applyBorder="1" applyAlignment="1">
      <alignment horizontal="center" vertical="center"/>
    </xf>
    <xf numFmtId="0" fontId="19" fillId="7" borderId="109" xfId="4" applyFont="1" applyFill="1" applyBorder="1" applyAlignment="1">
      <alignment horizontal="center" vertical="center"/>
    </xf>
    <xf numFmtId="0" fontId="19" fillId="7" borderId="110" xfId="4" applyFont="1" applyFill="1" applyBorder="1" applyAlignment="1">
      <alignment horizontal="center" vertical="center"/>
    </xf>
    <xf numFmtId="0" fontId="19" fillId="7" borderId="111" xfId="4" applyFont="1" applyFill="1" applyBorder="1" applyAlignment="1">
      <alignment horizontal="center" vertical="center"/>
    </xf>
    <xf numFmtId="0" fontId="19" fillId="7" borderId="112" xfId="4" applyFont="1" applyFill="1" applyBorder="1" applyAlignment="1">
      <alignment horizontal="center" vertical="center"/>
    </xf>
    <xf numFmtId="0" fontId="18" fillId="6" borderId="117" xfId="4" applyFont="1" applyFill="1" applyBorder="1" applyAlignment="1">
      <alignment horizontal="center" vertical="center"/>
    </xf>
    <xf numFmtId="0" fontId="28" fillId="0" borderId="118" xfId="8" applyFont="1" applyBorder="1" applyAlignment="1">
      <alignment horizontal="center"/>
    </xf>
    <xf numFmtId="0" fontId="28" fillId="0" borderId="119" xfId="8" applyFont="1" applyBorder="1" applyAlignment="1">
      <alignment horizontal="center"/>
    </xf>
    <xf numFmtId="0" fontId="45" fillId="17" borderId="127" xfId="8" applyFont="1" applyFill="1" applyBorder="1" applyAlignment="1">
      <alignment horizontal="center" vertical="center"/>
    </xf>
    <xf numFmtId="0" fontId="45" fillId="17" borderId="128" xfId="8" applyFont="1" applyFill="1" applyBorder="1" applyAlignment="1">
      <alignment horizontal="center" vertical="center"/>
    </xf>
    <xf numFmtId="0" fontId="28" fillId="14" borderId="123" xfId="8" applyFont="1" applyFill="1" applyBorder="1" applyAlignment="1">
      <alignment horizontal="center" vertical="center"/>
    </xf>
    <xf numFmtId="0" fontId="28" fillId="14" borderId="124" xfId="8" applyFont="1" applyFill="1" applyBorder="1" applyAlignment="1">
      <alignment horizontal="center" vertical="center"/>
    </xf>
    <xf numFmtId="0" fontId="18" fillId="6" borderId="129" xfId="4" applyFont="1" applyFill="1" applyBorder="1" applyAlignment="1">
      <alignment horizontal="center" vertical="center"/>
    </xf>
    <xf numFmtId="0" fontId="18" fillId="6" borderId="130" xfId="4" applyFont="1" applyFill="1" applyBorder="1" applyAlignment="1">
      <alignment horizontal="center" vertical="center"/>
    </xf>
    <xf numFmtId="0" fontId="18" fillId="6" borderId="131" xfId="4" applyFont="1" applyFill="1" applyBorder="1" applyAlignment="1">
      <alignment horizontal="center" vertical="center"/>
    </xf>
    <xf numFmtId="0" fontId="19" fillId="7" borderId="133" xfId="4" applyFont="1" applyFill="1" applyBorder="1" applyAlignment="1">
      <alignment horizontal="center" vertical="center" wrapText="1"/>
    </xf>
    <xf numFmtId="0" fontId="19" fillId="7" borderId="133" xfId="4" applyFont="1" applyFill="1" applyBorder="1" applyAlignment="1">
      <alignment horizontal="center" vertical="center"/>
    </xf>
    <xf numFmtId="0" fontId="19" fillId="7" borderId="134" xfId="4" applyFont="1" applyFill="1" applyBorder="1" applyAlignment="1">
      <alignment horizontal="center" vertical="center"/>
    </xf>
    <xf numFmtId="0" fontId="19" fillId="7" borderId="135" xfId="4" applyFont="1" applyFill="1" applyBorder="1" applyAlignment="1">
      <alignment horizontal="center" vertical="center"/>
    </xf>
    <xf numFmtId="0" fontId="19" fillId="7" borderId="136" xfId="4" applyFont="1" applyFill="1" applyBorder="1" applyAlignment="1">
      <alignment horizontal="center" vertical="center"/>
    </xf>
    <xf numFmtId="0" fontId="19" fillId="7" borderId="137" xfId="4" applyFont="1" applyFill="1" applyBorder="1" applyAlignment="1">
      <alignment horizontal="center" vertical="center"/>
    </xf>
    <xf numFmtId="0" fontId="19" fillId="7" borderId="138" xfId="4" applyFont="1" applyFill="1" applyBorder="1" applyAlignment="1">
      <alignment horizontal="center" vertical="center"/>
    </xf>
    <xf numFmtId="0" fontId="18" fillId="6" borderId="143" xfId="4" applyFont="1" applyFill="1" applyBorder="1" applyAlignment="1">
      <alignment horizontal="center" vertical="center"/>
    </xf>
    <xf numFmtId="0" fontId="28" fillId="0" borderId="144" xfId="8" applyFont="1" applyBorder="1" applyAlignment="1">
      <alignment horizontal="center"/>
    </xf>
    <xf numFmtId="0" fontId="28" fillId="0" borderId="145" xfId="8" applyFont="1" applyBorder="1" applyAlignment="1">
      <alignment horizontal="center"/>
    </xf>
    <xf numFmtId="0" fontId="45" fillId="17" borderId="153" xfId="8" applyFont="1" applyFill="1" applyBorder="1" applyAlignment="1">
      <alignment horizontal="center" vertical="center"/>
    </xf>
    <xf numFmtId="0" fontId="45" fillId="17" borderId="154" xfId="8" applyFont="1" applyFill="1" applyBorder="1" applyAlignment="1">
      <alignment horizontal="center" vertical="center"/>
    </xf>
    <xf numFmtId="0" fontId="28" fillId="14" borderId="149" xfId="8" applyFont="1" applyFill="1" applyBorder="1" applyAlignment="1">
      <alignment horizontal="center" vertical="center"/>
    </xf>
    <xf numFmtId="0" fontId="28" fillId="14" borderId="150" xfId="8" applyFont="1" applyFill="1" applyBorder="1" applyAlignment="1">
      <alignment horizontal="center" vertical="center"/>
    </xf>
    <xf numFmtId="0" fontId="28" fillId="15" borderId="150" xfId="8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95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95" xfId="0" applyFont="1" applyFill="1" applyBorder="1" applyAlignment="1">
      <alignment horizontal="left" vertical="center"/>
    </xf>
    <xf numFmtId="0" fontId="41" fillId="0" borderId="94" xfId="0" applyFont="1" applyFill="1" applyBorder="1" applyAlignment="1">
      <alignment horizontal="left" vertical="center"/>
    </xf>
    <xf numFmtId="0" fontId="41" fillId="0" borderId="96" xfId="0" applyFont="1" applyFill="1" applyBorder="1" applyAlignment="1">
      <alignment horizontal="left" vertical="center"/>
    </xf>
    <xf numFmtId="0" fontId="60" fillId="0" borderId="91" xfId="0" applyFont="1" applyFill="1" applyBorder="1" applyAlignment="1">
      <alignment horizontal="left" vertical="top" wrapText="1"/>
    </xf>
    <xf numFmtId="0" fontId="60" fillId="0" borderId="0" xfId="0" applyFont="1" applyFill="1" applyBorder="1" applyAlignment="1">
      <alignment horizontal="left" vertical="top" wrapText="1"/>
    </xf>
    <xf numFmtId="0" fontId="60" fillId="0" borderId="95" xfId="0" applyFont="1" applyFill="1" applyBorder="1" applyAlignment="1">
      <alignment horizontal="left" vertical="top" wrapText="1"/>
    </xf>
    <xf numFmtId="0" fontId="41" fillId="0" borderId="84" xfId="0" applyFont="1" applyFill="1" applyBorder="1" applyAlignment="1">
      <alignment horizontal="left" vertical="center" wrapText="1"/>
    </xf>
    <xf numFmtId="0" fontId="41" fillId="0" borderId="82" xfId="0" applyFont="1" applyFill="1" applyBorder="1" applyAlignment="1">
      <alignment horizontal="left" vertical="center" wrapText="1"/>
    </xf>
    <xf numFmtId="0" fontId="41" fillId="0" borderId="87" xfId="0" applyFont="1" applyFill="1" applyBorder="1" applyAlignment="1">
      <alignment horizontal="left" vertical="center" wrapText="1"/>
    </xf>
    <xf numFmtId="0" fontId="41" fillId="0" borderId="94" xfId="0" applyFont="1" applyFill="1" applyBorder="1" applyAlignment="1">
      <alignment horizontal="left" vertical="center" wrapText="1"/>
    </xf>
    <xf numFmtId="0" fontId="41" fillId="0" borderId="96" xfId="0" applyFont="1" applyFill="1" applyBorder="1" applyAlignment="1">
      <alignment horizontal="left" vertical="center" wrapText="1"/>
    </xf>
    <xf numFmtId="0" fontId="60" fillId="0" borderId="89" xfId="0" applyFont="1" applyFill="1" applyBorder="1" applyAlignment="1">
      <alignment horizontal="left" vertical="top" wrapText="1"/>
    </xf>
    <xf numFmtId="0" fontId="60" fillId="0" borderId="84" xfId="0" applyFont="1" applyFill="1" applyBorder="1" applyAlignment="1">
      <alignment horizontal="left" vertical="top" wrapText="1"/>
    </xf>
    <xf numFmtId="0" fontId="60" fillId="0" borderId="82" xfId="0" applyFont="1" applyFill="1" applyBorder="1" applyAlignment="1">
      <alignment horizontal="left" vertical="top" wrapText="1"/>
    </xf>
    <xf numFmtId="0" fontId="61" fillId="0" borderId="87" xfId="0" applyFont="1" applyFill="1" applyBorder="1" applyAlignment="1">
      <alignment horizontal="left" vertical="center" wrapText="1"/>
    </xf>
    <xf numFmtId="0" fontId="61" fillId="0" borderId="94" xfId="0" applyFont="1" applyFill="1" applyBorder="1" applyAlignment="1">
      <alignment horizontal="left" vertical="center" wrapText="1"/>
    </xf>
    <xf numFmtId="0" fontId="62" fillId="0" borderId="91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1" fillId="0" borderId="91" xfId="0" applyFont="1" applyFill="1" applyBorder="1" applyAlignment="1">
      <alignment horizontal="left"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61" fillId="0" borderId="89" xfId="0" applyFont="1" applyFill="1" applyBorder="1" applyAlignment="1">
      <alignment horizontal="left" vertical="center" wrapText="1"/>
    </xf>
    <xf numFmtId="0" fontId="61" fillId="0" borderId="84" xfId="0" applyFont="1" applyFill="1" applyBorder="1" applyAlignment="1">
      <alignment horizontal="left" vertical="center" wrapText="1"/>
    </xf>
    <xf numFmtId="0" fontId="60" fillId="0" borderId="74" xfId="0" applyFont="1" applyFill="1" applyBorder="1" applyAlignment="1">
      <alignment horizontal="left" vertical="center" wrapText="1"/>
    </xf>
    <xf numFmtId="0" fontId="60" fillId="0" borderId="75" xfId="0" applyFont="1" applyFill="1" applyBorder="1" applyAlignment="1">
      <alignment horizontal="left" vertical="center" wrapText="1"/>
    </xf>
    <xf numFmtId="0" fontId="42" fillId="0" borderId="74" xfId="0" applyFont="1" applyFill="1" applyBorder="1" applyAlignment="1">
      <alignment horizontal="left" vertical="center" wrapText="1"/>
    </xf>
    <xf numFmtId="0" fontId="42" fillId="0" borderId="75" xfId="0" applyFont="1" applyFill="1" applyBorder="1" applyAlignment="1">
      <alignment horizontal="left" vertical="center" wrapText="1"/>
    </xf>
    <xf numFmtId="0" fontId="61" fillId="0" borderId="74" xfId="0" applyFont="1" applyFill="1" applyBorder="1" applyAlignment="1">
      <alignment horizontal="left" vertical="center" wrapText="1"/>
    </xf>
    <xf numFmtId="0" fontId="61" fillId="0" borderId="86" xfId="0" applyFont="1" applyFill="1" applyBorder="1" applyAlignment="1">
      <alignment horizontal="left" vertical="center" wrapText="1"/>
    </xf>
    <xf numFmtId="0" fontId="61" fillId="0" borderId="75" xfId="0" applyFont="1" applyFill="1" applyBorder="1" applyAlignment="1">
      <alignment horizontal="left" vertical="center" wrapText="1"/>
    </xf>
    <xf numFmtId="0" fontId="62" fillId="0" borderId="74" xfId="0" applyFont="1" applyFill="1" applyBorder="1" applyAlignment="1">
      <alignment horizontal="left" vertical="center" wrapText="1"/>
    </xf>
    <xf numFmtId="0" fontId="62" fillId="0" borderId="86" xfId="0" applyFont="1" applyFill="1" applyBorder="1" applyAlignment="1">
      <alignment horizontal="left" vertical="center" wrapText="1"/>
    </xf>
    <xf numFmtId="0" fontId="62" fillId="0" borderId="75" xfId="0" applyFont="1" applyFill="1" applyBorder="1" applyAlignment="1">
      <alignment horizontal="left" vertical="center" wrapText="1"/>
    </xf>
    <xf numFmtId="0" fontId="60" fillId="0" borderId="86" xfId="0" applyFont="1" applyFill="1" applyBorder="1" applyAlignment="1">
      <alignment horizontal="left" vertical="center" wrapText="1"/>
    </xf>
    <xf numFmtId="0" fontId="42" fillId="0" borderId="86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 vertical="top" wrapText="1"/>
    </xf>
    <xf numFmtId="0" fontId="41" fillId="0" borderId="84" xfId="0" applyFont="1" applyFill="1" applyBorder="1" applyAlignment="1">
      <alignment horizontal="center" vertical="top" wrapText="1"/>
    </xf>
    <xf numFmtId="0" fontId="41" fillId="0" borderId="74" xfId="0" applyFont="1" applyFill="1" applyBorder="1" applyAlignment="1">
      <alignment horizontal="center" vertical="center" wrapText="1"/>
    </xf>
    <xf numFmtId="0" fontId="41" fillId="0" borderId="86" xfId="0" applyFont="1" applyFill="1" applyBorder="1" applyAlignment="1">
      <alignment horizontal="center" vertical="center" wrapText="1"/>
    </xf>
    <xf numFmtId="0" fontId="41" fillId="0" borderId="75" xfId="0" applyFont="1" applyFill="1" applyBorder="1" applyAlignment="1">
      <alignment horizontal="center" vertical="center" wrapText="1"/>
    </xf>
    <xf numFmtId="0" fontId="41" fillId="0" borderId="74" xfId="0" applyFont="1" applyFill="1" applyBorder="1" applyAlignment="1">
      <alignment horizontal="left" vertical="center" wrapText="1"/>
    </xf>
    <xf numFmtId="0" fontId="41" fillId="0" borderId="86" xfId="0" applyFont="1" applyFill="1" applyBorder="1" applyAlignment="1">
      <alignment horizontal="left" vertical="center" wrapText="1"/>
    </xf>
    <xf numFmtId="0" fontId="41" fillId="0" borderId="75" xfId="0" applyFont="1" applyFill="1" applyBorder="1" applyAlignment="1">
      <alignment horizontal="left" vertical="center" wrapText="1"/>
    </xf>
    <xf numFmtId="0" fontId="58" fillId="0" borderId="74" xfId="0" applyFont="1" applyFill="1" applyBorder="1" applyAlignment="1">
      <alignment horizontal="left" vertical="center" wrapText="1"/>
    </xf>
    <xf numFmtId="0" fontId="58" fillId="0" borderId="86" xfId="0" applyFont="1" applyFill="1" applyBorder="1" applyAlignment="1">
      <alignment horizontal="left" vertical="center" wrapText="1"/>
    </xf>
    <xf numFmtId="0" fontId="58" fillId="0" borderId="75" xfId="0" applyFont="1" applyFill="1" applyBorder="1" applyAlignment="1">
      <alignment horizontal="left" vertical="center" wrapText="1"/>
    </xf>
    <xf numFmtId="0" fontId="15" fillId="13" borderId="21" xfId="8" applyFill="1" applyBorder="1" applyAlignment="1">
      <alignment horizontal="center" vertical="center"/>
    </xf>
    <xf numFmtId="0" fontId="16" fillId="13" borderId="5" xfId="8" applyFont="1" applyFill="1" applyBorder="1" applyAlignment="1">
      <alignment horizontal="center" vertical="center" wrapText="1"/>
    </xf>
    <xf numFmtId="0" fontId="15" fillId="13" borderId="0" xfId="8" applyFill="1" applyAlignment="1">
      <alignment horizontal="center"/>
    </xf>
    <xf numFmtId="0" fontId="35" fillId="13" borderId="187" xfId="0" applyFont="1" applyFill="1" applyBorder="1" applyAlignment="1">
      <alignment horizontal="right" vertical="center" wrapText="1"/>
    </xf>
    <xf numFmtId="0" fontId="35" fillId="13" borderId="188" xfId="0" applyFont="1" applyFill="1" applyBorder="1" applyAlignment="1">
      <alignment horizontal="right" vertical="center" wrapText="1"/>
    </xf>
    <xf numFmtId="0" fontId="35" fillId="13" borderId="189" xfId="0" applyFont="1" applyFill="1" applyBorder="1" applyAlignment="1">
      <alignment horizontal="right" vertical="center" wrapText="1"/>
    </xf>
    <xf numFmtId="0" fontId="35" fillId="13" borderId="190" xfId="0" applyFont="1" applyFill="1" applyBorder="1" applyAlignment="1">
      <alignment horizontal="right" vertical="center" wrapText="1"/>
    </xf>
    <xf numFmtId="0" fontId="35" fillId="13" borderId="191" xfId="0" applyFont="1" applyFill="1" applyBorder="1" applyAlignment="1">
      <alignment horizontal="right" vertical="center" wrapText="1"/>
    </xf>
    <xf numFmtId="0" fontId="35" fillId="13" borderId="192" xfId="0" applyFont="1" applyFill="1" applyBorder="1" applyAlignment="1">
      <alignment horizontal="right" vertical="center" wrapText="1"/>
    </xf>
    <xf numFmtId="0" fontId="16" fillId="0" borderId="21" xfId="8" applyFont="1" applyBorder="1" applyAlignment="1">
      <alignment horizontal="center" vertical="center"/>
    </xf>
    <xf numFmtId="0" fontId="16" fillId="0" borderId="16" xfId="8" applyFont="1" applyFill="1" applyBorder="1" applyAlignment="1">
      <alignment horizontal="center"/>
    </xf>
    <xf numFmtId="0" fontId="16" fillId="0" borderId="72" xfId="8" applyFont="1" applyFill="1" applyBorder="1" applyAlignment="1">
      <alignment horizontal="center"/>
    </xf>
    <xf numFmtId="0" fontId="16" fillId="0" borderId="19" xfId="8" applyFont="1" applyFill="1" applyBorder="1" applyAlignment="1">
      <alignment horizontal="center"/>
    </xf>
    <xf numFmtId="0" fontId="15" fillId="0" borderId="16" xfId="8" applyFill="1" applyBorder="1" applyAlignment="1">
      <alignment horizontal="center"/>
    </xf>
    <xf numFmtId="0" fontId="15" fillId="0" borderId="72" xfId="8" applyFill="1" applyBorder="1" applyAlignment="1">
      <alignment horizontal="center"/>
    </xf>
    <xf numFmtId="0" fontId="15" fillId="0" borderId="19" xfId="8" applyFill="1" applyBorder="1" applyAlignment="1">
      <alignment horizontal="center"/>
    </xf>
    <xf numFmtId="0" fontId="15" fillId="0" borderId="16" xfId="8" applyBorder="1" applyAlignment="1">
      <alignment horizontal="center"/>
    </xf>
    <xf numFmtId="0" fontId="15" fillId="0" borderId="72" xfId="8" applyBorder="1" applyAlignment="1">
      <alignment horizontal="center"/>
    </xf>
    <xf numFmtId="0" fontId="15" fillId="0" borderId="19" xfId="8" applyBorder="1" applyAlignment="1">
      <alignment horizontal="center"/>
    </xf>
    <xf numFmtId="0" fontId="16" fillId="0" borderId="16" xfId="8" applyFont="1" applyBorder="1" applyAlignment="1">
      <alignment horizontal="center"/>
    </xf>
    <xf numFmtId="0" fontId="16" fillId="0" borderId="72" xfId="8" applyFont="1" applyBorder="1" applyAlignment="1">
      <alignment horizontal="center"/>
    </xf>
    <xf numFmtId="0" fontId="16" fillId="0" borderId="19" xfId="8" applyFont="1" applyBorder="1" applyAlignment="1">
      <alignment horizontal="center"/>
    </xf>
    <xf numFmtId="0" fontId="14" fillId="0" borderId="0" xfId="8" applyFont="1" applyAlignment="1">
      <alignment horizontal="center"/>
    </xf>
    <xf numFmtId="0" fontId="28" fillId="0" borderId="0" xfId="8" applyFont="1" applyAlignment="1">
      <alignment horizontal="center"/>
    </xf>
    <xf numFmtId="0" fontId="16" fillId="0" borderId="0" xfId="8" applyFont="1" applyAlignment="1">
      <alignment horizontal="right"/>
    </xf>
    <xf numFmtId="0" fontId="16" fillId="0" borderId="5" xfId="8" applyFont="1" applyBorder="1" applyAlignment="1">
      <alignment horizontal="center" vertical="center"/>
    </xf>
    <xf numFmtId="0" fontId="16" fillId="0" borderId="5" xfId="8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0" xfId="0" applyFont="1" applyFill="1" applyBorder="1" applyAlignment="1">
      <alignment horizontal="center"/>
    </xf>
    <xf numFmtId="0" fontId="2" fillId="0" borderId="161" xfId="0" applyFont="1" applyFill="1" applyBorder="1" applyAlignment="1">
      <alignment horizontal="center"/>
    </xf>
    <xf numFmtId="0" fontId="2" fillId="0" borderId="162" xfId="0" applyFont="1" applyFill="1" applyBorder="1" applyAlignment="1">
      <alignment horizontal="center"/>
    </xf>
    <xf numFmtId="0" fontId="36" fillId="0" borderId="83" xfId="0" applyFont="1" applyBorder="1" applyAlignment="1">
      <alignment horizontal="center" vertical="center"/>
    </xf>
    <xf numFmtId="0" fontId="36" fillId="0" borderId="164" xfId="0" applyFont="1" applyBorder="1" applyAlignment="1">
      <alignment horizontal="center" vertical="center"/>
    </xf>
    <xf numFmtId="0" fontId="36" fillId="0" borderId="165" xfId="0" applyFont="1" applyBorder="1" applyAlignment="1">
      <alignment horizontal="center" vertical="center"/>
    </xf>
    <xf numFmtId="0" fontId="37" fillId="0" borderId="157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8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159" xfId="0" applyFont="1" applyBorder="1" applyAlignment="1">
      <alignment horizontal="center" vertical="center" wrapText="1"/>
    </xf>
    <xf numFmtId="0" fontId="37" fillId="0" borderId="155" xfId="0" applyFont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16" xfId="0" applyFont="1" applyFill="1" applyBorder="1" applyAlignment="1">
      <alignment horizontal="center" vertical="center"/>
    </xf>
    <xf numFmtId="0" fontId="2" fillId="9" borderId="72" xfId="0" applyFont="1" applyFill="1" applyBorder="1" applyAlignment="1">
      <alignment horizontal="center" vertical="center"/>
    </xf>
    <xf numFmtId="0" fontId="2" fillId="9" borderId="19" xfId="0" applyFont="1" applyFill="1" applyBorder="1" applyAlignment="1">
      <alignment horizontal="center" vertical="center"/>
    </xf>
    <xf numFmtId="0" fontId="37" fillId="0" borderId="29" xfId="0" applyFont="1" applyBorder="1" applyAlignment="1">
      <alignment horizontal="right"/>
    </xf>
    <xf numFmtId="0" fontId="37" fillId="0" borderId="22" xfId="0" applyFont="1" applyBorder="1" applyAlignment="1">
      <alignment horizontal="right"/>
    </xf>
    <xf numFmtId="0" fontId="37" fillId="0" borderId="156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9" fillId="13" borderId="5" xfId="0" applyFont="1" applyFill="1" applyBorder="1" applyAlignment="1" applyProtection="1">
      <alignment horizontal="center" vertical="center"/>
      <protection locked="0"/>
    </xf>
    <xf numFmtId="0" fontId="9" fillId="13" borderId="5" xfId="0" applyFont="1" applyFill="1" applyBorder="1" applyAlignment="1" applyProtection="1">
      <alignment horizontal="center" vertical="center" wrapText="1"/>
      <protection locked="0"/>
    </xf>
    <xf numFmtId="0" fontId="14" fillId="0" borderId="163" xfId="0" applyFont="1" applyFill="1" applyBorder="1" applyAlignment="1" applyProtection="1">
      <alignment horizontal="center" vertical="center" wrapText="1"/>
      <protection locked="0"/>
    </xf>
    <xf numFmtId="0" fontId="14" fillId="0" borderId="20" xfId="0" applyFont="1" applyFill="1" applyBorder="1" applyAlignment="1" applyProtection="1">
      <alignment horizontal="center" vertical="center" wrapText="1"/>
      <protection locked="0"/>
    </xf>
    <xf numFmtId="0" fontId="14" fillId="0" borderId="23" xfId="0" applyFont="1" applyFill="1" applyBorder="1" applyAlignment="1" applyProtection="1">
      <alignment horizontal="center" vertical="center" wrapText="1"/>
      <protection locked="0"/>
    </xf>
    <xf numFmtId="0" fontId="12" fillId="0" borderId="15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7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158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173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2" xfId="0" applyFont="1" applyBorder="1" applyAlignment="1" applyProtection="1">
      <alignment horizontal="center" vertical="center"/>
      <protection locked="0"/>
    </xf>
    <xf numFmtId="0" fontId="12" fillId="0" borderId="163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12" fillId="13" borderId="5" xfId="0" applyFont="1" applyFill="1" applyBorder="1" applyAlignment="1" applyProtection="1">
      <alignment horizontal="center" vertical="center"/>
      <protection locked="0"/>
    </xf>
    <xf numFmtId="0" fontId="12" fillId="13" borderId="18" xfId="0" applyFont="1" applyFill="1" applyBorder="1" applyAlignment="1" applyProtection="1">
      <alignment horizontal="center" vertical="center"/>
      <protection locked="0"/>
    </xf>
    <xf numFmtId="0" fontId="12" fillId="13" borderId="14" xfId="0" applyFont="1" applyFill="1" applyBorder="1" applyAlignment="1" applyProtection="1">
      <alignment horizontal="center" vertical="center"/>
      <protection locked="0"/>
    </xf>
    <xf numFmtId="0" fontId="12" fillId="13" borderId="17" xfId="0" applyFont="1" applyFill="1" applyBorder="1" applyAlignment="1" applyProtection="1">
      <alignment horizontal="center" vertical="center"/>
      <protection locked="0"/>
    </xf>
    <xf numFmtId="0" fontId="12" fillId="13" borderId="179" xfId="0" applyFont="1" applyFill="1" applyBorder="1" applyAlignment="1" applyProtection="1">
      <alignment horizontal="center" vertical="center"/>
      <protection locked="0"/>
    </xf>
    <xf numFmtId="0" fontId="12" fillId="13" borderId="180" xfId="0" applyFont="1" applyFill="1" applyBorder="1" applyAlignment="1" applyProtection="1">
      <alignment horizontal="center" vertical="center"/>
      <protection locked="0"/>
    </xf>
    <xf numFmtId="0" fontId="12" fillId="13" borderId="181" xfId="0" applyFont="1" applyFill="1" applyBorder="1" applyAlignment="1" applyProtection="1">
      <alignment horizontal="center" vertical="center"/>
      <protection locked="0"/>
    </xf>
    <xf numFmtId="0" fontId="12" fillId="0" borderId="173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 wrapText="1"/>
      <protection locked="0"/>
    </xf>
    <xf numFmtId="0" fontId="12" fillId="0" borderId="172" xfId="0" applyFont="1" applyBorder="1" applyAlignment="1" applyProtection="1">
      <alignment horizontal="center" vertical="center" wrapText="1"/>
      <protection locked="0"/>
    </xf>
    <xf numFmtId="0" fontId="12" fillId="2" borderId="182" xfId="0" applyFont="1" applyFill="1" applyBorder="1" applyAlignment="1" applyProtection="1">
      <alignment horizontal="center" vertical="center" wrapText="1"/>
      <protection locked="0"/>
    </xf>
    <xf numFmtId="0" fontId="12" fillId="2" borderId="183" xfId="0" applyFont="1" applyFill="1" applyBorder="1" applyAlignment="1" applyProtection="1">
      <alignment horizontal="center" vertical="center" wrapText="1"/>
      <protection locked="0"/>
    </xf>
    <xf numFmtId="0" fontId="12" fillId="2" borderId="184" xfId="0" applyFont="1" applyFill="1" applyBorder="1" applyAlignment="1" applyProtection="1">
      <alignment horizontal="center" vertical="center" wrapText="1"/>
      <protection locked="0"/>
    </xf>
    <xf numFmtId="0" fontId="16" fillId="13" borderId="204" xfId="8" applyFont="1" applyFill="1" applyBorder="1" applyAlignment="1">
      <alignment horizontal="center" vertical="center" wrapText="1"/>
    </xf>
    <xf numFmtId="0" fontId="16" fillId="13" borderId="205" xfId="8" applyFont="1" applyFill="1" applyBorder="1" applyAlignment="1">
      <alignment horizontal="center" vertical="center" wrapText="1"/>
    </xf>
    <xf numFmtId="0" fontId="16" fillId="13" borderId="206" xfId="8" applyFont="1" applyFill="1" applyBorder="1" applyAlignment="1">
      <alignment horizontal="center" vertical="center" wrapText="1"/>
    </xf>
    <xf numFmtId="0" fontId="15" fillId="13" borderId="207" xfId="8" applyFill="1" applyBorder="1" applyAlignment="1">
      <alignment horizontal="center" vertical="center"/>
    </xf>
    <xf numFmtId="0" fontId="15" fillId="13" borderId="204" xfId="8" applyFill="1" applyBorder="1" applyAlignment="1">
      <alignment horizontal="center" vertical="center"/>
    </xf>
    <xf numFmtId="0" fontId="15" fillId="13" borderId="206" xfId="8" applyFill="1" applyBorder="1" applyAlignment="1">
      <alignment horizontal="center" vertical="center"/>
    </xf>
    <xf numFmtId="0" fontId="16" fillId="0" borderId="207" xfId="8" applyFont="1" applyBorder="1" applyAlignment="1">
      <alignment horizontal="center" vertical="center"/>
    </xf>
    <xf numFmtId="0" fontId="16" fillId="0" borderId="208" xfId="8" applyFont="1" applyBorder="1" applyAlignment="1">
      <alignment horizontal="center"/>
    </xf>
    <xf numFmtId="0" fontId="15" fillId="0" borderId="208" xfId="8" applyBorder="1"/>
    <xf numFmtId="2" fontId="15" fillId="0" borderId="208" xfId="8" applyNumberFormat="1" applyBorder="1"/>
    <xf numFmtId="0" fontId="8" fillId="13" borderId="209" xfId="0" applyFont="1" applyFill="1" applyBorder="1" applyAlignment="1" applyProtection="1">
      <alignment horizontal="center" vertical="center" wrapText="1"/>
      <protection locked="0"/>
    </xf>
    <xf numFmtId="0" fontId="8" fillId="13" borderId="23" xfId="0" applyFont="1" applyFill="1" applyBorder="1" applyAlignment="1" applyProtection="1">
      <alignment horizontal="center" vertical="center" wrapText="1"/>
      <protection locked="0"/>
    </xf>
  </cellXfs>
  <cellStyles count="10">
    <cellStyle name="Excel Built-in Comma 1" xfId="5"/>
    <cellStyle name="Excel Built-in Normal" xfId="4"/>
    <cellStyle name="Moeda" xfId="2" builtinId="4"/>
    <cellStyle name="Normal" xfId="0" builtinId="0"/>
    <cellStyle name="Normal 2" xfId="8"/>
    <cellStyle name="Porcentagem" xfId="3" builtinId="5"/>
    <cellStyle name="Porcentagem 2" xfId="7"/>
    <cellStyle name="Separador de milhares 2" xfId="9"/>
    <cellStyle name="Vírgula" xfId="1" builtinId="3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1609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543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543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173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173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562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562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3174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3174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261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261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4617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4617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1609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1609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543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543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173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173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562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562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3174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3174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261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261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4617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4617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8</xdr:col>
      <xdr:colOff>0</xdr:colOff>
      <xdr:row>11</xdr:row>
      <xdr:rowOff>0</xdr:rowOff>
    </xdr:from>
    <xdr:to>
      <xdr:col>16</xdr:col>
      <xdr:colOff>276225</xdr:colOff>
      <xdr:row>26</xdr:row>
      <xdr:rowOff>9525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8325" y="3162300"/>
          <a:ext cx="5381625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1609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1609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543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543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173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173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5622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5622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3174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3174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2610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2610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4617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4617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5800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5800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962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962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592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592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7365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7365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680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680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8808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8808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18</xdr:col>
      <xdr:colOff>276225</xdr:colOff>
      <xdr:row>37</xdr:row>
      <xdr:rowOff>20731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5235" y="5266765"/>
          <a:ext cx="5386108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5800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5800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962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962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592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592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981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981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7365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7365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680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680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8808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8808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7</xdr:col>
      <xdr:colOff>414618</xdr:colOff>
      <xdr:row>5</xdr:row>
      <xdr:rowOff>324971</xdr:rowOff>
    </xdr:from>
    <xdr:to>
      <xdr:col>16</xdr:col>
      <xdr:colOff>85725</xdr:colOff>
      <xdr:row>20</xdr:row>
      <xdr:rowOff>121584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7265" y="2140324"/>
          <a:ext cx="5386107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5800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5800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962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962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592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592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981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981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7365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7365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680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680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8808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8808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119</xdr:row>
      <xdr:rowOff>228600</xdr:rowOff>
    </xdr:from>
    <xdr:to>
      <xdr:col>0</xdr:col>
      <xdr:colOff>285750</xdr:colOff>
      <xdr:row>119</xdr:row>
      <xdr:rowOff>495300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114300" y="685800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119</xdr:row>
      <xdr:rowOff>228600</xdr:rowOff>
    </xdr:from>
    <xdr:to>
      <xdr:col>0</xdr:col>
      <xdr:colOff>847725</xdr:colOff>
      <xdr:row>119</xdr:row>
      <xdr:rowOff>495300</xdr:rowOff>
    </xdr:to>
    <xdr:sp macro="" textlink="">
      <xdr:nvSpPr>
        <xdr:cNvPr id="6" name="CaixaDeTexto 9"/>
        <xdr:cNvSpPr>
          <a:spLocks noChangeArrowheads="1"/>
        </xdr:cNvSpPr>
      </xdr:nvSpPr>
      <xdr:spPr bwMode="auto">
        <a:xfrm>
          <a:off x="600075" y="685800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/>
        <xdr:cNvSpPr>
          <a:spLocks noChangeArrowheads="1"/>
        </xdr:cNvSpPr>
      </xdr:nvSpPr>
      <xdr:spPr bwMode="auto">
        <a:xfrm>
          <a:off x="114300" y="1962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/>
        <xdr:cNvSpPr>
          <a:spLocks noChangeArrowheads="1"/>
        </xdr:cNvSpPr>
      </xdr:nvSpPr>
      <xdr:spPr bwMode="auto">
        <a:xfrm>
          <a:off x="600075" y="1962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29</xdr:row>
      <xdr:rowOff>228600</xdr:rowOff>
    </xdr:from>
    <xdr:to>
      <xdr:col>0</xdr:col>
      <xdr:colOff>285750</xdr:colOff>
      <xdr:row>29</xdr:row>
      <xdr:rowOff>495300</xdr:rowOff>
    </xdr:to>
    <xdr:sp macro="" textlink="">
      <xdr:nvSpPr>
        <xdr:cNvPr id="9" name="CaixaDeTexto 2"/>
        <xdr:cNvSpPr>
          <a:spLocks noChangeArrowheads="1"/>
        </xdr:cNvSpPr>
      </xdr:nvSpPr>
      <xdr:spPr bwMode="auto">
        <a:xfrm>
          <a:off x="114300" y="14592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29</xdr:row>
      <xdr:rowOff>228600</xdr:rowOff>
    </xdr:from>
    <xdr:to>
      <xdr:col>0</xdr:col>
      <xdr:colOff>847725</xdr:colOff>
      <xdr:row>29</xdr:row>
      <xdr:rowOff>495300</xdr:rowOff>
    </xdr:to>
    <xdr:sp macro="" textlink="">
      <xdr:nvSpPr>
        <xdr:cNvPr id="10" name="CaixaDeTexto 9"/>
        <xdr:cNvSpPr>
          <a:spLocks noChangeArrowheads="1"/>
        </xdr:cNvSpPr>
      </xdr:nvSpPr>
      <xdr:spPr bwMode="auto">
        <a:xfrm>
          <a:off x="600075" y="14592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141</xdr:row>
      <xdr:rowOff>228600</xdr:rowOff>
    </xdr:from>
    <xdr:to>
      <xdr:col>0</xdr:col>
      <xdr:colOff>285750</xdr:colOff>
      <xdr:row>141</xdr:row>
      <xdr:rowOff>495300</xdr:rowOff>
    </xdr:to>
    <xdr:sp macro="" textlink="">
      <xdr:nvSpPr>
        <xdr:cNvPr id="11" name="CaixaDeTexto 2"/>
        <xdr:cNvSpPr>
          <a:spLocks noChangeArrowheads="1"/>
        </xdr:cNvSpPr>
      </xdr:nvSpPr>
      <xdr:spPr bwMode="auto">
        <a:xfrm>
          <a:off x="114300" y="78981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141</xdr:row>
      <xdr:rowOff>228600</xdr:rowOff>
    </xdr:from>
    <xdr:to>
      <xdr:col>0</xdr:col>
      <xdr:colOff>590550</xdr:colOff>
      <xdr:row>141</xdr:row>
      <xdr:rowOff>495300</xdr:rowOff>
    </xdr:to>
    <xdr:sp macro="" textlink="">
      <xdr:nvSpPr>
        <xdr:cNvPr id="12" name="CaixaDeTexto 9"/>
        <xdr:cNvSpPr>
          <a:spLocks noChangeArrowheads="1"/>
        </xdr:cNvSpPr>
      </xdr:nvSpPr>
      <xdr:spPr bwMode="auto">
        <a:xfrm>
          <a:off x="600075" y="78981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53</xdr:row>
      <xdr:rowOff>228600</xdr:rowOff>
    </xdr:from>
    <xdr:to>
      <xdr:col>0</xdr:col>
      <xdr:colOff>285750</xdr:colOff>
      <xdr:row>53</xdr:row>
      <xdr:rowOff>495300</xdr:rowOff>
    </xdr:to>
    <xdr:sp macro="" textlink="">
      <xdr:nvSpPr>
        <xdr:cNvPr id="13" name="CaixaDeTexto 2"/>
        <xdr:cNvSpPr>
          <a:spLocks noChangeArrowheads="1"/>
        </xdr:cNvSpPr>
      </xdr:nvSpPr>
      <xdr:spPr bwMode="auto">
        <a:xfrm>
          <a:off x="114300" y="257365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53</xdr:row>
      <xdr:rowOff>228600</xdr:rowOff>
    </xdr:from>
    <xdr:to>
      <xdr:col>0</xdr:col>
      <xdr:colOff>847725</xdr:colOff>
      <xdr:row>53</xdr:row>
      <xdr:rowOff>495300</xdr:rowOff>
    </xdr:to>
    <xdr:sp macro="" textlink="">
      <xdr:nvSpPr>
        <xdr:cNvPr id="14" name="CaixaDeTexto 9"/>
        <xdr:cNvSpPr>
          <a:spLocks noChangeArrowheads="1"/>
        </xdr:cNvSpPr>
      </xdr:nvSpPr>
      <xdr:spPr bwMode="auto">
        <a:xfrm>
          <a:off x="600075" y="257365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77</xdr:row>
      <xdr:rowOff>228600</xdr:rowOff>
    </xdr:from>
    <xdr:to>
      <xdr:col>0</xdr:col>
      <xdr:colOff>285750</xdr:colOff>
      <xdr:row>77</xdr:row>
      <xdr:rowOff>495300</xdr:rowOff>
    </xdr:to>
    <xdr:sp macro="" textlink="">
      <xdr:nvSpPr>
        <xdr:cNvPr id="17" name="CaixaDeTexto 2"/>
        <xdr:cNvSpPr>
          <a:spLocks noChangeArrowheads="1"/>
        </xdr:cNvSpPr>
      </xdr:nvSpPr>
      <xdr:spPr bwMode="auto">
        <a:xfrm>
          <a:off x="114300" y="31680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77</xdr:row>
      <xdr:rowOff>228600</xdr:rowOff>
    </xdr:from>
    <xdr:to>
      <xdr:col>0</xdr:col>
      <xdr:colOff>847725</xdr:colOff>
      <xdr:row>77</xdr:row>
      <xdr:rowOff>495300</xdr:rowOff>
    </xdr:to>
    <xdr:sp macro="" textlink="">
      <xdr:nvSpPr>
        <xdr:cNvPr id="18" name="CaixaDeTexto 9"/>
        <xdr:cNvSpPr>
          <a:spLocks noChangeArrowheads="1"/>
        </xdr:cNvSpPr>
      </xdr:nvSpPr>
      <xdr:spPr bwMode="auto">
        <a:xfrm>
          <a:off x="600075" y="31680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98</xdr:row>
      <xdr:rowOff>228600</xdr:rowOff>
    </xdr:from>
    <xdr:to>
      <xdr:col>0</xdr:col>
      <xdr:colOff>285750</xdr:colOff>
      <xdr:row>98</xdr:row>
      <xdr:rowOff>495300</xdr:rowOff>
    </xdr:to>
    <xdr:sp macro="" textlink="">
      <xdr:nvSpPr>
        <xdr:cNvPr id="19" name="CaixaDeTexto 2"/>
        <xdr:cNvSpPr>
          <a:spLocks noChangeArrowheads="1"/>
        </xdr:cNvSpPr>
      </xdr:nvSpPr>
      <xdr:spPr bwMode="auto">
        <a:xfrm>
          <a:off x="114300" y="368808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98</xdr:row>
      <xdr:rowOff>228600</xdr:rowOff>
    </xdr:from>
    <xdr:to>
      <xdr:col>0</xdr:col>
      <xdr:colOff>847725</xdr:colOff>
      <xdr:row>98</xdr:row>
      <xdr:rowOff>495300</xdr:rowOff>
    </xdr:to>
    <xdr:sp macro="" textlink="">
      <xdr:nvSpPr>
        <xdr:cNvPr id="20" name="CaixaDeTexto 9"/>
        <xdr:cNvSpPr>
          <a:spLocks noChangeArrowheads="1"/>
        </xdr:cNvSpPr>
      </xdr:nvSpPr>
      <xdr:spPr bwMode="auto">
        <a:xfrm>
          <a:off x="600075" y="368808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/>
        <xdr:cNvSpPr>
          <a:spLocks noChangeArrowheads="1"/>
        </xdr:cNvSpPr>
      </xdr:nvSpPr>
      <xdr:spPr bwMode="auto">
        <a:xfrm>
          <a:off x="743902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A192"/>
  <sheetViews>
    <sheetView tabSelected="1" zoomScale="55" zoomScaleNormal="55" zoomScaleSheetLayoutView="55" workbookViewId="0">
      <selection activeCell="G47" sqref="G47"/>
    </sheetView>
  </sheetViews>
  <sheetFormatPr defaultColWidth="8.7109375" defaultRowHeight="15" x14ac:dyDescent="0.2"/>
  <cols>
    <col min="1" max="1" width="2.28515625" style="362" customWidth="1"/>
    <col min="2" max="2" width="13.85546875" style="14" customWidth="1"/>
    <col min="3" max="3" width="22.5703125" style="14" customWidth="1"/>
    <col min="4" max="4" width="16.7109375" style="15" customWidth="1"/>
    <col min="5" max="5" width="53.85546875" style="14" customWidth="1"/>
    <col min="6" max="6" width="68.85546875" style="14" customWidth="1"/>
    <col min="7" max="7" width="23.140625" style="15" customWidth="1"/>
    <col min="8" max="8" width="29" style="14" bestFit="1" customWidth="1"/>
    <col min="9" max="9" width="8.7109375" style="437"/>
    <col min="10" max="10" width="24.140625" style="437" customWidth="1"/>
    <col min="11" max="11" width="16.28515625" style="437" bestFit="1" customWidth="1"/>
    <col min="12" max="12" width="8.7109375" style="437"/>
    <col min="13" max="13" width="9.85546875" style="437" bestFit="1" customWidth="1"/>
    <col min="14" max="14" width="29" style="437" bestFit="1" customWidth="1"/>
    <col min="15" max="105" width="8.7109375" style="437"/>
    <col min="106" max="16384" width="8.7109375" style="363"/>
  </cols>
  <sheetData>
    <row r="1" spans="1:105" s="360" customFormat="1" ht="42" customHeight="1" thickBot="1" x14ac:dyDescent="0.3">
      <c r="A1" s="359"/>
      <c r="B1" s="595" t="s">
        <v>24</v>
      </c>
      <c r="C1" s="596"/>
      <c r="D1" s="596"/>
      <c r="E1" s="596"/>
      <c r="F1" s="596"/>
      <c r="G1" s="596"/>
      <c r="H1" s="597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  <c r="AG1" s="361"/>
      <c r="AH1" s="361"/>
      <c r="AI1" s="361"/>
      <c r="AJ1" s="361"/>
      <c r="AK1" s="361"/>
      <c r="AL1" s="361"/>
      <c r="AM1" s="361"/>
      <c r="AN1" s="361"/>
      <c r="AO1" s="361"/>
      <c r="AP1" s="361"/>
      <c r="AQ1" s="361"/>
      <c r="AR1" s="361"/>
      <c r="AS1" s="361"/>
      <c r="AT1" s="361"/>
      <c r="AU1" s="361"/>
      <c r="AV1" s="361"/>
      <c r="AW1" s="361"/>
      <c r="AX1" s="361"/>
      <c r="AY1" s="361"/>
      <c r="AZ1" s="361"/>
      <c r="BA1" s="361"/>
      <c r="BB1" s="361"/>
      <c r="BC1" s="361"/>
      <c r="BD1" s="361"/>
      <c r="BE1" s="361"/>
      <c r="BF1" s="361"/>
      <c r="BG1" s="361"/>
      <c r="BH1" s="361"/>
      <c r="BI1" s="361"/>
      <c r="BJ1" s="361"/>
      <c r="BK1" s="361"/>
      <c r="BL1" s="361"/>
      <c r="BM1" s="361"/>
      <c r="BN1" s="361"/>
      <c r="BO1" s="361"/>
      <c r="BP1" s="361"/>
      <c r="BQ1" s="361"/>
      <c r="BR1" s="361"/>
      <c r="BS1" s="361"/>
      <c r="BT1" s="361"/>
      <c r="BU1" s="361"/>
      <c r="BV1" s="361"/>
      <c r="BW1" s="361"/>
      <c r="BX1" s="361"/>
      <c r="BY1" s="361"/>
      <c r="BZ1" s="361"/>
      <c r="CA1" s="361"/>
      <c r="CB1" s="361"/>
      <c r="CC1" s="361"/>
      <c r="CD1" s="361"/>
      <c r="CE1" s="361"/>
      <c r="CF1" s="361"/>
      <c r="CG1" s="361"/>
      <c r="CH1" s="361"/>
      <c r="CI1" s="361"/>
      <c r="CJ1" s="361"/>
      <c r="CK1" s="361"/>
      <c r="CL1" s="361"/>
      <c r="CM1" s="361"/>
      <c r="CN1" s="361"/>
      <c r="CO1" s="361"/>
      <c r="CP1" s="361"/>
      <c r="CQ1" s="361"/>
      <c r="CR1" s="361"/>
      <c r="CS1" s="361"/>
      <c r="CT1" s="361"/>
      <c r="CU1" s="361"/>
      <c r="CV1" s="361"/>
      <c r="CW1" s="361"/>
      <c r="CX1" s="361"/>
      <c r="CY1" s="361"/>
      <c r="CZ1" s="361"/>
      <c r="DA1" s="361"/>
    </row>
    <row r="2" spans="1:105" s="360" customFormat="1" ht="21" customHeight="1" x14ac:dyDescent="0.25">
      <c r="A2" s="359"/>
      <c r="B2" s="598" t="s">
        <v>25</v>
      </c>
      <c r="C2" s="601" t="s">
        <v>26</v>
      </c>
      <c r="D2" s="603" t="s">
        <v>27</v>
      </c>
      <c r="E2" s="603" t="s">
        <v>28</v>
      </c>
      <c r="F2" s="603" t="s">
        <v>29</v>
      </c>
      <c r="G2" s="606" t="s">
        <v>30</v>
      </c>
      <c r="H2" s="850" t="s">
        <v>31</v>
      </c>
      <c r="I2" s="361"/>
      <c r="J2" s="613" t="s">
        <v>490</v>
      </c>
      <c r="K2" s="614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 s="361"/>
      <c r="AP2" s="361"/>
      <c r="AQ2" s="361"/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F2" s="361"/>
      <c r="BG2" s="361"/>
      <c r="BH2" s="361"/>
      <c r="BI2" s="361"/>
      <c r="BJ2" s="361"/>
      <c r="BK2" s="361"/>
      <c r="BL2" s="361"/>
      <c r="BM2" s="361"/>
      <c r="BN2" s="361"/>
      <c r="BO2" s="361"/>
      <c r="BP2" s="361"/>
      <c r="BQ2" s="361"/>
      <c r="BR2" s="361"/>
      <c r="BS2" s="361"/>
      <c r="BT2" s="361"/>
      <c r="BU2" s="361"/>
      <c r="BV2" s="361"/>
      <c r="BW2" s="361"/>
      <c r="BX2" s="361"/>
      <c r="BY2" s="361"/>
      <c r="BZ2" s="361"/>
      <c r="CA2" s="361"/>
      <c r="CB2" s="361"/>
      <c r="CC2" s="361"/>
      <c r="CD2" s="361"/>
      <c r="CE2" s="361"/>
      <c r="CF2" s="361"/>
      <c r="CG2" s="361"/>
      <c r="CH2" s="361"/>
      <c r="CI2" s="361"/>
      <c r="CJ2" s="361"/>
      <c r="CK2" s="361"/>
      <c r="CL2" s="361"/>
      <c r="CM2" s="361"/>
      <c r="CN2" s="361"/>
      <c r="CO2" s="361"/>
      <c r="CP2" s="361"/>
      <c r="CQ2" s="361"/>
      <c r="CR2" s="361"/>
      <c r="CS2" s="361"/>
      <c r="CT2" s="361"/>
      <c r="CU2" s="361"/>
      <c r="CV2" s="361"/>
      <c r="CW2" s="361"/>
      <c r="CX2" s="361"/>
      <c r="CY2" s="361"/>
      <c r="CZ2" s="361"/>
      <c r="DA2" s="361"/>
    </row>
    <row r="3" spans="1:105" s="360" customFormat="1" ht="21" customHeight="1" x14ac:dyDescent="0.25">
      <c r="A3" s="359"/>
      <c r="B3" s="599"/>
      <c r="C3" s="602"/>
      <c r="D3" s="604"/>
      <c r="E3" s="604"/>
      <c r="F3" s="604"/>
      <c r="G3" s="607"/>
      <c r="H3" s="610"/>
      <c r="I3" s="361"/>
      <c r="J3" s="612" t="s">
        <v>488</v>
      </c>
      <c r="K3" s="615" t="s">
        <v>489</v>
      </c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61"/>
      <c r="AF3" s="361"/>
      <c r="AG3" s="361"/>
      <c r="AH3" s="361"/>
      <c r="AI3" s="361"/>
      <c r="AJ3" s="361"/>
      <c r="AK3" s="361"/>
      <c r="AL3" s="361"/>
      <c r="AM3" s="361"/>
      <c r="AN3" s="361"/>
      <c r="AO3" s="361"/>
      <c r="AP3" s="361"/>
      <c r="AQ3" s="361"/>
      <c r="AR3" s="361"/>
      <c r="AS3" s="361"/>
      <c r="AT3" s="361"/>
      <c r="AU3" s="361"/>
      <c r="AV3" s="361"/>
      <c r="AW3" s="361"/>
      <c r="AX3" s="361"/>
      <c r="AY3" s="361"/>
      <c r="AZ3" s="361"/>
      <c r="BA3" s="361"/>
      <c r="BB3" s="361"/>
      <c r="BC3" s="361"/>
      <c r="BD3" s="361"/>
      <c r="BE3" s="361"/>
      <c r="BF3" s="361"/>
      <c r="BG3" s="361"/>
      <c r="BH3" s="361"/>
      <c r="BI3" s="361"/>
      <c r="BJ3" s="361"/>
      <c r="BK3" s="361"/>
      <c r="BL3" s="361"/>
      <c r="BM3" s="361"/>
      <c r="BN3" s="361"/>
      <c r="BO3" s="361"/>
      <c r="BP3" s="361"/>
      <c r="BQ3" s="361"/>
      <c r="BR3" s="361"/>
      <c r="BS3" s="361"/>
      <c r="BT3" s="361"/>
      <c r="BU3" s="361"/>
      <c r="BV3" s="361"/>
      <c r="BW3" s="361"/>
      <c r="BX3" s="361"/>
      <c r="BY3" s="361"/>
      <c r="BZ3" s="361"/>
      <c r="CA3" s="361"/>
      <c r="CB3" s="361"/>
      <c r="CC3" s="361"/>
      <c r="CD3" s="361"/>
      <c r="CE3" s="361"/>
      <c r="CF3" s="361"/>
      <c r="CG3" s="361"/>
      <c r="CH3" s="361"/>
      <c r="CI3" s="361"/>
      <c r="CJ3" s="361"/>
      <c r="CK3" s="361"/>
      <c r="CL3" s="361"/>
      <c r="CM3" s="361"/>
      <c r="CN3" s="361"/>
      <c r="CO3" s="361"/>
      <c r="CP3" s="361"/>
      <c r="CQ3" s="361"/>
      <c r="CR3" s="361"/>
      <c r="CS3" s="361"/>
      <c r="CT3" s="361"/>
      <c r="CU3" s="361"/>
      <c r="CV3" s="361"/>
      <c r="CW3" s="361"/>
      <c r="CX3" s="361"/>
      <c r="CY3" s="361"/>
      <c r="CZ3" s="361"/>
      <c r="DA3" s="361"/>
    </row>
    <row r="4" spans="1:105" s="360" customFormat="1" ht="23.25" customHeight="1" thickBot="1" x14ac:dyDescent="0.3">
      <c r="A4" s="359"/>
      <c r="B4" s="600"/>
      <c r="C4" s="602"/>
      <c r="D4" s="605"/>
      <c r="E4" s="605"/>
      <c r="F4" s="605"/>
      <c r="G4" s="608"/>
      <c r="H4" s="851"/>
      <c r="I4" s="361"/>
      <c r="J4" s="612"/>
      <c r="K4" s="615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  <c r="AP4" s="361"/>
      <c r="AQ4" s="361"/>
      <c r="AR4" s="361"/>
      <c r="AS4" s="361"/>
      <c r="AT4" s="361"/>
      <c r="AU4" s="361"/>
      <c r="AV4" s="361"/>
      <c r="AW4" s="361"/>
      <c r="AX4" s="361"/>
      <c r="AY4" s="361"/>
      <c r="AZ4" s="361"/>
      <c r="BA4" s="361"/>
      <c r="BB4" s="361"/>
      <c r="BC4" s="361"/>
      <c r="BD4" s="361"/>
      <c r="BE4" s="361"/>
      <c r="BF4" s="361"/>
      <c r="BG4" s="361"/>
      <c r="BH4" s="361"/>
      <c r="BI4" s="361"/>
      <c r="BJ4" s="361"/>
      <c r="BK4" s="361"/>
      <c r="BL4" s="361"/>
      <c r="BM4" s="361"/>
      <c r="BN4" s="361"/>
      <c r="BO4" s="361"/>
      <c r="BP4" s="361"/>
      <c r="BQ4" s="361"/>
      <c r="BR4" s="361"/>
      <c r="BS4" s="361"/>
      <c r="BT4" s="361"/>
      <c r="BU4" s="361"/>
      <c r="BV4" s="361"/>
      <c r="BW4" s="361"/>
      <c r="BX4" s="361"/>
      <c r="BY4" s="361"/>
      <c r="BZ4" s="361"/>
      <c r="CA4" s="361"/>
      <c r="CB4" s="361"/>
      <c r="CC4" s="361"/>
      <c r="CD4" s="361"/>
      <c r="CE4" s="361"/>
      <c r="CF4" s="361"/>
      <c r="CG4" s="361"/>
      <c r="CH4" s="361"/>
      <c r="CI4" s="361"/>
      <c r="CJ4" s="361"/>
      <c r="CK4" s="361"/>
      <c r="CL4" s="361"/>
      <c r="CM4" s="361"/>
      <c r="CN4" s="361"/>
      <c r="CO4" s="361"/>
      <c r="CP4" s="361"/>
      <c r="CQ4" s="361"/>
      <c r="CR4" s="361"/>
      <c r="CS4" s="361"/>
      <c r="CT4" s="361"/>
      <c r="CU4" s="361"/>
      <c r="CV4" s="361"/>
      <c r="CW4" s="361"/>
      <c r="CX4" s="361"/>
      <c r="CY4" s="361"/>
      <c r="CZ4" s="361"/>
      <c r="DA4" s="361"/>
    </row>
    <row r="5" spans="1:105" s="360" customFormat="1" ht="33" customHeight="1" x14ac:dyDescent="0.25">
      <c r="A5" s="359"/>
      <c r="B5" s="609">
        <v>1</v>
      </c>
      <c r="C5" s="438" t="s">
        <v>95</v>
      </c>
      <c r="D5" s="439" t="s">
        <v>37</v>
      </c>
      <c r="E5" s="440" t="s">
        <v>88</v>
      </c>
      <c r="F5" s="440" t="s">
        <v>81</v>
      </c>
      <c r="G5" s="441">
        <v>402</v>
      </c>
      <c r="H5" s="588">
        <f>'Relatorios LOTE 01'!F151</f>
        <v>5450438.3499999996</v>
      </c>
      <c r="I5" s="361"/>
      <c r="J5" s="585">
        <f>'Custo Gerencial LOTE 01'!G63</f>
        <v>1713399.7885663724</v>
      </c>
      <c r="K5" s="586">
        <f>J5/(SUM(G5:G7))</f>
        <v>1522.7513229349204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361"/>
      <c r="BE5" s="361"/>
      <c r="BF5" s="361"/>
      <c r="BG5" s="361"/>
      <c r="BH5" s="361"/>
      <c r="BI5" s="361"/>
      <c r="BJ5" s="361"/>
      <c r="BK5" s="361"/>
      <c r="BL5" s="361"/>
      <c r="BM5" s="361"/>
      <c r="BN5" s="361"/>
      <c r="BO5" s="361"/>
      <c r="BP5" s="361"/>
      <c r="BQ5" s="361"/>
      <c r="BR5" s="361"/>
      <c r="BS5" s="361"/>
      <c r="BT5" s="361"/>
      <c r="BU5" s="361"/>
      <c r="BV5" s="361"/>
      <c r="BW5" s="361"/>
      <c r="BX5" s="361"/>
      <c r="BY5" s="361"/>
      <c r="BZ5" s="361"/>
      <c r="CA5" s="361"/>
      <c r="CB5" s="361"/>
      <c r="CC5" s="361"/>
      <c r="CD5" s="361"/>
      <c r="CE5" s="361"/>
      <c r="CF5" s="361"/>
      <c r="CG5" s="361"/>
      <c r="CH5" s="361"/>
      <c r="CI5" s="361"/>
      <c r="CJ5" s="361"/>
      <c r="CK5" s="361"/>
      <c r="CL5" s="361"/>
      <c r="CM5" s="361"/>
      <c r="CN5" s="361"/>
      <c r="CO5" s="361"/>
      <c r="CP5" s="361"/>
      <c r="CQ5" s="361"/>
      <c r="CR5" s="361"/>
      <c r="CS5" s="361"/>
      <c r="CT5" s="361"/>
      <c r="CU5" s="361"/>
      <c r="CV5" s="361"/>
      <c r="CW5" s="361"/>
      <c r="CX5" s="361"/>
      <c r="CY5" s="361"/>
      <c r="CZ5" s="361"/>
      <c r="DA5" s="361"/>
    </row>
    <row r="6" spans="1:105" s="360" customFormat="1" ht="33" customHeight="1" x14ac:dyDescent="0.25">
      <c r="A6" s="359"/>
      <c r="B6" s="610"/>
      <c r="C6" s="442" t="s">
        <v>77</v>
      </c>
      <c r="D6" s="443" t="s">
        <v>38</v>
      </c>
      <c r="E6" s="444" t="s">
        <v>89</v>
      </c>
      <c r="F6" s="444" t="s">
        <v>82</v>
      </c>
      <c r="G6" s="445">
        <v>401.6</v>
      </c>
      <c r="H6" s="589"/>
      <c r="I6" s="361"/>
      <c r="J6" s="585"/>
      <c r="K6" s="586"/>
      <c r="L6" s="361"/>
      <c r="M6" s="517"/>
      <c r="N6" s="518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1"/>
      <c r="AV6" s="361"/>
      <c r="AW6" s="361"/>
      <c r="AX6" s="361"/>
      <c r="AY6" s="361"/>
      <c r="AZ6" s="361"/>
      <c r="BA6" s="361"/>
      <c r="BB6" s="361"/>
      <c r="BC6" s="361"/>
      <c r="BD6" s="361"/>
      <c r="BE6" s="361"/>
      <c r="BF6" s="361"/>
      <c r="BG6" s="361"/>
      <c r="BH6" s="361"/>
      <c r="BI6" s="361"/>
      <c r="BJ6" s="361"/>
      <c r="BK6" s="361"/>
      <c r="BL6" s="361"/>
      <c r="BM6" s="361"/>
      <c r="BN6" s="361"/>
      <c r="BO6" s="361"/>
      <c r="BP6" s="361"/>
      <c r="BQ6" s="361"/>
      <c r="BR6" s="361"/>
      <c r="BS6" s="361"/>
      <c r="BT6" s="361"/>
      <c r="BU6" s="361"/>
      <c r="BV6" s="361"/>
      <c r="BW6" s="361"/>
      <c r="BX6" s="361"/>
      <c r="BY6" s="361"/>
      <c r="BZ6" s="361"/>
      <c r="CA6" s="361"/>
      <c r="CB6" s="361"/>
      <c r="CC6" s="361"/>
      <c r="CD6" s="361"/>
      <c r="CE6" s="361"/>
      <c r="CF6" s="361"/>
      <c r="CG6" s="361"/>
      <c r="CH6" s="361"/>
      <c r="CI6" s="361"/>
      <c r="CJ6" s="361"/>
      <c r="CK6" s="361"/>
      <c r="CL6" s="361"/>
      <c r="CM6" s="361"/>
      <c r="CN6" s="361"/>
      <c r="CO6" s="361"/>
      <c r="CP6" s="361"/>
      <c r="CQ6" s="361"/>
      <c r="CR6" s="361"/>
      <c r="CS6" s="361"/>
      <c r="CT6" s="361"/>
      <c r="CU6" s="361"/>
      <c r="CV6" s="361"/>
      <c r="CW6" s="361"/>
      <c r="CX6" s="361"/>
      <c r="CY6" s="361"/>
      <c r="CZ6" s="361"/>
      <c r="DA6" s="361"/>
    </row>
    <row r="7" spans="1:105" s="360" customFormat="1" ht="33" customHeight="1" thickBot="1" x14ac:dyDescent="0.3">
      <c r="A7" s="359"/>
      <c r="B7" s="610"/>
      <c r="C7" s="446" t="s">
        <v>36</v>
      </c>
      <c r="D7" s="447" t="s">
        <v>38</v>
      </c>
      <c r="E7" s="448" t="s">
        <v>39</v>
      </c>
      <c r="F7" s="448" t="s">
        <v>40</v>
      </c>
      <c r="G7" s="449">
        <v>321.60000000000002</v>
      </c>
      <c r="H7" s="590"/>
      <c r="I7" s="361"/>
      <c r="J7" s="585"/>
      <c r="K7" s="586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1"/>
      <c r="AC7" s="361"/>
      <c r="AD7" s="361"/>
      <c r="AE7" s="361"/>
      <c r="AF7" s="361"/>
      <c r="AG7" s="361"/>
      <c r="AH7" s="361"/>
      <c r="AI7" s="361"/>
      <c r="AJ7" s="361"/>
      <c r="AK7" s="361"/>
      <c r="AL7" s="361"/>
      <c r="AM7" s="361"/>
      <c r="AN7" s="361"/>
      <c r="AO7" s="361"/>
      <c r="AP7" s="361"/>
      <c r="AQ7" s="361"/>
      <c r="AR7" s="361"/>
      <c r="AS7" s="361"/>
      <c r="AT7" s="361"/>
      <c r="AU7" s="361"/>
      <c r="AV7" s="361"/>
      <c r="AW7" s="361"/>
      <c r="AX7" s="361"/>
      <c r="AY7" s="361"/>
      <c r="AZ7" s="361"/>
      <c r="BA7" s="361"/>
      <c r="BB7" s="361"/>
      <c r="BC7" s="361"/>
      <c r="BD7" s="361"/>
      <c r="BE7" s="361"/>
      <c r="BF7" s="361"/>
      <c r="BG7" s="361"/>
      <c r="BH7" s="361"/>
      <c r="BI7" s="361"/>
      <c r="BJ7" s="361"/>
      <c r="BK7" s="361"/>
      <c r="BL7" s="361"/>
      <c r="BM7" s="361"/>
      <c r="BN7" s="361"/>
      <c r="BO7" s="361"/>
      <c r="BP7" s="361"/>
      <c r="BQ7" s="361"/>
      <c r="BR7" s="361"/>
      <c r="BS7" s="361"/>
      <c r="BT7" s="361"/>
      <c r="BU7" s="361"/>
      <c r="BV7" s="361"/>
      <c r="BW7" s="361"/>
      <c r="BX7" s="361"/>
      <c r="BY7" s="361"/>
      <c r="BZ7" s="361"/>
      <c r="CA7" s="361"/>
      <c r="CB7" s="361"/>
      <c r="CC7" s="361"/>
      <c r="CD7" s="361"/>
      <c r="CE7" s="361"/>
      <c r="CF7" s="361"/>
      <c r="CG7" s="361"/>
      <c r="CH7" s="361"/>
      <c r="CI7" s="361"/>
      <c r="CJ7" s="361"/>
      <c r="CK7" s="361"/>
      <c r="CL7" s="361"/>
      <c r="CM7" s="361"/>
      <c r="CN7" s="361"/>
      <c r="CO7" s="361"/>
      <c r="CP7" s="361"/>
      <c r="CQ7" s="361"/>
      <c r="CR7" s="361"/>
      <c r="CS7" s="361"/>
      <c r="CT7" s="361"/>
      <c r="CU7" s="361"/>
      <c r="CV7" s="361"/>
      <c r="CW7" s="361"/>
      <c r="CX7" s="361"/>
      <c r="CY7" s="361"/>
      <c r="CZ7" s="361"/>
      <c r="DA7" s="361"/>
    </row>
    <row r="8" spans="1:105" s="360" customFormat="1" ht="33" customHeight="1" x14ac:dyDescent="0.25">
      <c r="A8" s="359"/>
      <c r="B8" s="594">
        <v>2</v>
      </c>
      <c r="C8" s="450" t="s">
        <v>96</v>
      </c>
      <c r="D8" s="439" t="s">
        <v>37</v>
      </c>
      <c r="E8" s="440" t="s">
        <v>90</v>
      </c>
      <c r="F8" s="440" t="s">
        <v>83</v>
      </c>
      <c r="G8" s="441">
        <v>179.9</v>
      </c>
      <c r="H8" s="588">
        <f>'Relatorios LOTE 02'!F151</f>
        <v>4287696.7300000004</v>
      </c>
      <c r="I8" s="361"/>
      <c r="J8" s="587">
        <f>'Custo Gerencial LOTE 02'!G63</f>
        <v>1657044.8995423727</v>
      </c>
      <c r="K8" s="584">
        <f>J8/(SUM(G8:G12))</f>
        <v>1935.5739978301281</v>
      </c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1"/>
      <c r="Z8" s="361"/>
      <c r="AA8" s="361"/>
      <c r="AB8" s="361"/>
      <c r="AC8" s="361"/>
      <c r="AD8" s="361"/>
      <c r="AE8" s="361"/>
      <c r="AF8" s="361"/>
      <c r="AG8" s="361"/>
      <c r="AH8" s="361"/>
      <c r="AI8" s="361"/>
      <c r="AJ8" s="361"/>
      <c r="AK8" s="361"/>
      <c r="AL8" s="361"/>
      <c r="AM8" s="361"/>
      <c r="AN8" s="361"/>
      <c r="AO8" s="361"/>
      <c r="AP8" s="361"/>
      <c r="AQ8" s="361"/>
      <c r="AR8" s="361"/>
      <c r="AS8" s="361"/>
      <c r="AT8" s="361"/>
      <c r="AU8" s="361"/>
      <c r="AV8" s="361"/>
      <c r="AW8" s="361"/>
      <c r="AX8" s="361"/>
      <c r="AY8" s="361"/>
      <c r="AZ8" s="361"/>
      <c r="BA8" s="361"/>
      <c r="BB8" s="361"/>
      <c r="BC8" s="361"/>
      <c r="BD8" s="361"/>
      <c r="BE8" s="361"/>
      <c r="BF8" s="361"/>
      <c r="BG8" s="361"/>
      <c r="BH8" s="361"/>
      <c r="BI8" s="361"/>
      <c r="BJ8" s="361"/>
      <c r="BK8" s="361"/>
      <c r="BL8" s="361"/>
      <c r="BM8" s="361"/>
      <c r="BN8" s="361"/>
      <c r="BO8" s="361"/>
      <c r="BP8" s="361"/>
      <c r="BQ8" s="361"/>
      <c r="BR8" s="361"/>
      <c r="BS8" s="361"/>
      <c r="BT8" s="361"/>
      <c r="BU8" s="361"/>
      <c r="BV8" s="361"/>
      <c r="BW8" s="361"/>
      <c r="BX8" s="361"/>
      <c r="BY8" s="361"/>
      <c r="BZ8" s="361"/>
      <c r="CA8" s="361"/>
      <c r="CB8" s="361"/>
      <c r="CC8" s="361"/>
      <c r="CD8" s="361"/>
      <c r="CE8" s="361"/>
      <c r="CF8" s="361"/>
      <c r="CG8" s="361"/>
      <c r="CH8" s="361"/>
      <c r="CI8" s="361"/>
      <c r="CJ8" s="361"/>
      <c r="CK8" s="361"/>
      <c r="CL8" s="361"/>
      <c r="CM8" s="361"/>
      <c r="CN8" s="361"/>
      <c r="CO8" s="361"/>
      <c r="CP8" s="361"/>
      <c r="CQ8" s="361"/>
      <c r="CR8" s="361"/>
      <c r="CS8" s="361"/>
      <c r="CT8" s="361"/>
      <c r="CU8" s="361"/>
      <c r="CV8" s="361"/>
      <c r="CW8" s="361"/>
      <c r="CX8" s="361"/>
      <c r="CY8" s="361"/>
      <c r="CZ8" s="361"/>
      <c r="DA8" s="361"/>
    </row>
    <row r="9" spans="1:105" s="360" customFormat="1" ht="33" customHeight="1" x14ac:dyDescent="0.25">
      <c r="A9" s="359"/>
      <c r="B9" s="592"/>
      <c r="C9" s="451" t="s">
        <v>41</v>
      </c>
      <c r="D9" s="443" t="s">
        <v>37</v>
      </c>
      <c r="E9" s="444" t="s">
        <v>42</v>
      </c>
      <c r="F9" s="444" t="s">
        <v>43</v>
      </c>
      <c r="G9" s="445">
        <v>142.5</v>
      </c>
      <c r="H9" s="589"/>
      <c r="I9" s="361"/>
      <c r="J9" s="587"/>
      <c r="K9" s="584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361"/>
      <c r="Z9" s="361"/>
      <c r="AA9" s="361"/>
      <c r="AB9" s="361"/>
      <c r="AC9" s="361"/>
      <c r="AD9" s="361"/>
      <c r="AE9" s="361"/>
      <c r="AF9" s="361"/>
      <c r="AG9" s="361"/>
      <c r="AH9" s="361"/>
      <c r="AI9" s="361"/>
      <c r="AJ9" s="361"/>
      <c r="AK9" s="361"/>
      <c r="AL9" s="361"/>
      <c r="AM9" s="361"/>
      <c r="AN9" s="361"/>
      <c r="AO9" s="361"/>
      <c r="AP9" s="361"/>
      <c r="AQ9" s="361"/>
      <c r="AR9" s="361"/>
      <c r="AS9" s="361"/>
      <c r="AT9" s="361"/>
      <c r="AU9" s="361"/>
      <c r="AV9" s="361"/>
      <c r="AW9" s="361"/>
      <c r="AX9" s="361"/>
      <c r="AY9" s="361"/>
      <c r="AZ9" s="361"/>
      <c r="BA9" s="361"/>
      <c r="BB9" s="361"/>
      <c r="BC9" s="361"/>
      <c r="BD9" s="361"/>
      <c r="BE9" s="361"/>
      <c r="BF9" s="361"/>
      <c r="BG9" s="361"/>
      <c r="BH9" s="361"/>
      <c r="BI9" s="361"/>
      <c r="BJ9" s="361"/>
      <c r="BK9" s="361"/>
      <c r="BL9" s="361"/>
      <c r="BM9" s="361"/>
      <c r="BN9" s="361"/>
      <c r="BO9" s="361"/>
      <c r="BP9" s="361"/>
      <c r="BQ9" s="361"/>
      <c r="BR9" s="361"/>
      <c r="BS9" s="361"/>
      <c r="BT9" s="361"/>
      <c r="BU9" s="361"/>
      <c r="BV9" s="361"/>
      <c r="BW9" s="361"/>
      <c r="BX9" s="361"/>
      <c r="BY9" s="361"/>
      <c r="BZ9" s="361"/>
      <c r="CA9" s="361"/>
      <c r="CB9" s="361"/>
      <c r="CC9" s="361"/>
      <c r="CD9" s="361"/>
      <c r="CE9" s="361"/>
      <c r="CF9" s="361"/>
      <c r="CG9" s="361"/>
      <c r="CH9" s="361"/>
      <c r="CI9" s="361"/>
      <c r="CJ9" s="361"/>
      <c r="CK9" s="361"/>
      <c r="CL9" s="361"/>
      <c r="CM9" s="361"/>
      <c r="CN9" s="361"/>
      <c r="CO9" s="361"/>
      <c r="CP9" s="361"/>
      <c r="CQ9" s="361"/>
      <c r="CR9" s="361"/>
      <c r="CS9" s="361"/>
      <c r="CT9" s="361"/>
      <c r="CU9" s="361"/>
      <c r="CV9" s="361"/>
      <c r="CW9" s="361"/>
      <c r="CX9" s="361"/>
      <c r="CY9" s="361"/>
      <c r="CZ9" s="361"/>
      <c r="DA9" s="361"/>
    </row>
    <row r="10" spans="1:105" s="360" customFormat="1" ht="33" customHeight="1" x14ac:dyDescent="0.25">
      <c r="A10" s="359"/>
      <c r="B10" s="592"/>
      <c r="C10" s="451" t="s">
        <v>41</v>
      </c>
      <c r="D10" s="443" t="s">
        <v>38</v>
      </c>
      <c r="E10" s="444" t="s">
        <v>44</v>
      </c>
      <c r="F10" s="444" t="s">
        <v>45</v>
      </c>
      <c r="G10" s="445">
        <v>320.10000000000002</v>
      </c>
      <c r="H10" s="589"/>
      <c r="I10" s="361"/>
      <c r="J10" s="587"/>
      <c r="K10" s="584"/>
      <c r="L10" s="361"/>
      <c r="M10" s="517"/>
      <c r="N10" s="518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361"/>
      <c r="AE10" s="361"/>
      <c r="AF10" s="361"/>
      <c r="AG10" s="361"/>
      <c r="AH10" s="361"/>
      <c r="AI10" s="361"/>
      <c r="AJ10" s="361"/>
      <c r="AK10" s="361"/>
      <c r="AL10" s="361"/>
      <c r="AM10" s="361"/>
      <c r="AN10" s="361"/>
      <c r="AO10" s="361"/>
      <c r="AP10" s="361"/>
      <c r="AQ10" s="361"/>
      <c r="AR10" s="361"/>
      <c r="AS10" s="361"/>
      <c r="AT10" s="361"/>
      <c r="AU10" s="361"/>
      <c r="AV10" s="361"/>
      <c r="AW10" s="361"/>
      <c r="AX10" s="361"/>
      <c r="AY10" s="361"/>
      <c r="AZ10" s="361"/>
      <c r="BA10" s="361"/>
      <c r="BB10" s="361"/>
      <c r="BC10" s="361"/>
      <c r="BD10" s="361"/>
      <c r="BE10" s="361"/>
      <c r="BF10" s="361"/>
      <c r="BG10" s="361"/>
      <c r="BH10" s="361"/>
      <c r="BI10" s="361"/>
      <c r="BJ10" s="361"/>
      <c r="BK10" s="361"/>
      <c r="BL10" s="361"/>
      <c r="BM10" s="361"/>
      <c r="BN10" s="361"/>
      <c r="BO10" s="361"/>
      <c r="BP10" s="361"/>
      <c r="BQ10" s="361"/>
      <c r="BR10" s="361"/>
      <c r="BS10" s="361"/>
      <c r="BT10" s="361"/>
      <c r="BU10" s="361"/>
      <c r="BV10" s="361"/>
      <c r="BW10" s="361"/>
      <c r="BX10" s="361"/>
      <c r="BY10" s="361"/>
      <c r="BZ10" s="361"/>
      <c r="CA10" s="361"/>
      <c r="CB10" s="361"/>
      <c r="CC10" s="361"/>
      <c r="CD10" s="361"/>
      <c r="CE10" s="361"/>
      <c r="CF10" s="361"/>
      <c r="CG10" s="361"/>
      <c r="CH10" s="361"/>
      <c r="CI10" s="361"/>
      <c r="CJ10" s="361"/>
      <c r="CK10" s="361"/>
      <c r="CL10" s="361"/>
      <c r="CM10" s="361"/>
      <c r="CN10" s="361"/>
      <c r="CO10" s="361"/>
      <c r="CP10" s="361"/>
      <c r="CQ10" s="361"/>
      <c r="CR10" s="361"/>
      <c r="CS10" s="361"/>
      <c r="CT10" s="361"/>
      <c r="CU10" s="361"/>
      <c r="CV10" s="361"/>
      <c r="CW10" s="361"/>
      <c r="CX10" s="361"/>
      <c r="CY10" s="361"/>
      <c r="CZ10" s="361"/>
      <c r="DA10" s="361"/>
    </row>
    <row r="11" spans="1:105" s="360" customFormat="1" ht="33" customHeight="1" x14ac:dyDescent="0.25">
      <c r="A11" s="359"/>
      <c r="B11" s="592"/>
      <c r="C11" s="451" t="s">
        <v>41</v>
      </c>
      <c r="D11" s="443" t="s">
        <v>38</v>
      </c>
      <c r="E11" s="444" t="s">
        <v>46</v>
      </c>
      <c r="F11" s="444" t="s">
        <v>47</v>
      </c>
      <c r="G11" s="445">
        <v>200.4</v>
      </c>
      <c r="H11" s="589"/>
      <c r="I11" s="361"/>
      <c r="J11" s="587"/>
      <c r="K11" s="584"/>
      <c r="L11" s="361"/>
      <c r="M11" s="361"/>
      <c r="N11" s="361"/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1"/>
      <c r="Z11" s="361"/>
      <c r="AA11" s="361"/>
      <c r="AB11" s="361"/>
      <c r="AC11" s="361"/>
      <c r="AD11" s="361"/>
      <c r="AE11" s="361"/>
      <c r="AF11" s="361"/>
      <c r="AG11" s="361"/>
      <c r="AH11" s="361"/>
      <c r="AI11" s="361"/>
      <c r="AJ11" s="361"/>
      <c r="AK11" s="361"/>
      <c r="AL11" s="361"/>
      <c r="AM11" s="361"/>
      <c r="AN11" s="361"/>
      <c r="AO11" s="361"/>
      <c r="AP11" s="361"/>
      <c r="AQ11" s="361"/>
      <c r="AR11" s="361"/>
      <c r="AS11" s="361"/>
      <c r="AT11" s="361"/>
      <c r="AU11" s="361"/>
      <c r="AV11" s="361"/>
      <c r="AW11" s="361"/>
      <c r="AX11" s="361"/>
      <c r="AY11" s="361"/>
      <c r="AZ11" s="361"/>
      <c r="BA11" s="361"/>
      <c r="BB11" s="361"/>
      <c r="BC11" s="361"/>
      <c r="BD11" s="361"/>
      <c r="BE11" s="361"/>
      <c r="BF11" s="361"/>
      <c r="BG11" s="361"/>
      <c r="BH11" s="361"/>
      <c r="BI11" s="361"/>
      <c r="BJ11" s="361"/>
      <c r="BK11" s="361"/>
      <c r="BL11" s="361"/>
      <c r="BM11" s="361"/>
      <c r="BN11" s="361"/>
      <c r="BO11" s="361"/>
      <c r="BP11" s="361"/>
      <c r="BQ11" s="361"/>
      <c r="BR11" s="361"/>
      <c r="BS11" s="361"/>
      <c r="BT11" s="361"/>
      <c r="BU11" s="361"/>
      <c r="BV11" s="361"/>
      <c r="BW11" s="361"/>
      <c r="BX11" s="361"/>
      <c r="BY11" s="361"/>
      <c r="BZ11" s="361"/>
      <c r="CA11" s="361"/>
      <c r="CB11" s="361"/>
      <c r="CC11" s="361"/>
      <c r="CD11" s="361"/>
      <c r="CE11" s="361"/>
      <c r="CF11" s="361"/>
      <c r="CG11" s="361"/>
      <c r="CH11" s="361"/>
      <c r="CI11" s="361"/>
      <c r="CJ11" s="361"/>
      <c r="CK11" s="361"/>
      <c r="CL11" s="361"/>
      <c r="CM11" s="361"/>
      <c r="CN11" s="361"/>
      <c r="CO11" s="361"/>
      <c r="CP11" s="361"/>
      <c r="CQ11" s="361"/>
      <c r="CR11" s="361"/>
      <c r="CS11" s="361"/>
      <c r="CT11" s="361"/>
      <c r="CU11" s="361"/>
      <c r="CV11" s="361"/>
      <c r="CW11" s="361"/>
      <c r="CX11" s="361"/>
      <c r="CY11" s="361"/>
      <c r="CZ11" s="361"/>
      <c r="DA11" s="361"/>
    </row>
    <row r="12" spans="1:105" s="360" customFormat="1" ht="33" customHeight="1" thickBot="1" x14ac:dyDescent="0.3">
      <c r="A12" s="359"/>
      <c r="B12" s="593"/>
      <c r="C12" s="452" t="s">
        <v>41</v>
      </c>
      <c r="D12" s="447" t="s">
        <v>48</v>
      </c>
      <c r="E12" s="448" t="s">
        <v>49</v>
      </c>
      <c r="F12" s="448" t="s">
        <v>50</v>
      </c>
      <c r="G12" s="449">
        <v>13.2</v>
      </c>
      <c r="H12" s="590"/>
      <c r="I12" s="361"/>
      <c r="J12" s="587"/>
      <c r="K12" s="584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1"/>
      <c r="AF12" s="361"/>
      <c r="AG12" s="361"/>
      <c r="AH12" s="361"/>
      <c r="AI12" s="361"/>
      <c r="AJ12" s="361"/>
      <c r="AK12" s="361"/>
      <c r="AL12" s="361"/>
      <c r="AM12" s="361"/>
      <c r="AN12" s="361"/>
      <c r="AO12" s="361"/>
      <c r="AP12" s="361"/>
      <c r="AQ12" s="361"/>
      <c r="AR12" s="361"/>
      <c r="AS12" s="361"/>
      <c r="AT12" s="361"/>
      <c r="AU12" s="361"/>
      <c r="AV12" s="361"/>
      <c r="AW12" s="361"/>
      <c r="AX12" s="361"/>
      <c r="AY12" s="361"/>
      <c r="AZ12" s="361"/>
      <c r="BA12" s="361"/>
      <c r="BB12" s="361"/>
      <c r="BC12" s="361"/>
      <c r="BD12" s="361"/>
      <c r="BE12" s="361"/>
      <c r="BF12" s="361"/>
      <c r="BG12" s="361"/>
      <c r="BH12" s="361"/>
      <c r="BI12" s="361"/>
      <c r="BJ12" s="361"/>
      <c r="BK12" s="361"/>
      <c r="BL12" s="361"/>
      <c r="BM12" s="361"/>
      <c r="BN12" s="361"/>
      <c r="BO12" s="361"/>
      <c r="BP12" s="361"/>
      <c r="BQ12" s="361"/>
      <c r="BR12" s="361"/>
      <c r="BS12" s="361"/>
      <c r="BT12" s="361"/>
      <c r="BU12" s="361"/>
      <c r="BV12" s="361"/>
      <c r="BW12" s="361"/>
      <c r="BX12" s="361"/>
      <c r="BY12" s="361"/>
      <c r="BZ12" s="361"/>
      <c r="CA12" s="361"/>
      <c r="CB12" s="361"/>
      <c r="CC12" s="361"/>
      <c r="CD12" s="361"/>
      <c r="CE12" s="361"/>
      <c r="CF12" s="361"/>
      <c r="CG12" s="361"/>
      <c r="CH12" s="361"/>
      <c r="CI12" s="361"/>
      <c r="CJ12" s="361"/>
      <c r="CK12" s="361"/>
      <c r="CL12" s="361"/>
      <c r="CM12" s="361"/>
      <c r="CN12" s="361"/>
      <c r="CO12" s="361"/>
      <c r="CP12" s="361"/>
      <c r="CQ12" s="361"/>
      <c r="CR12" s="361"/>
      <c r="CS12" s="361"/>
      <c r="CT12" s="361"/>
      <c r="CU12" s="361"/>
      <c r="CV12" s="361"/>
      <c r="CW12" s="361"/>
      <c r="CX12" s="361"/>
      <c r="CY12" s="361"/>
      <c r="CZ12" s="361"/>
      <c r="DA12" s="361"/>
    </row>
    <row r="13" spans="1:105" s="360" customFormat="1" ht="33" customHeight="1" x14ac:dyDescent="0.25">
      <c r="A13" s="359"/>
      <c r="B13" s="611">
        <v>3</v>
      </c>
      <c r="C13" s="450" t="s">
        <v>78</v>
      </c>
      <c r="D13" s="439" t="s">
        <v>38</v>
      </c>
      <c r="E13" s="440" t="s">
        <v>91</v>
      </c>
      <c r="F13" s="440" t="s">
        <v>84</v>
      </c>
      <c r="G13" s="441">
        <v>562.1</v>
      </c>
      <c r="H13" s="591">
        <f>'Relatorios LOTE 03'!F151</f>
        <v>10912589.949999999</v>
      </c>
      <c r="I13" s="361"/>
      <c r="J13" s="585">
        <f>'Custo Gerencial LOTE 03'!G63</f>
        <v>2305824.7551884656</v>
      </c>
      <c r="K13" s="586">
        <f>J13/SUM(G13:G15)</f>
        <v>861.86168617345663</v>
      </c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361"/>
      <c r="AC13" s="361"/>
      <c r="AD13" s="361"/>
      <c r="AE13" s="361"/>
      <c r="AF13" s="361"/>
      <c r="AG13" s="361"/>
      <c r="AH13" s="361"/>
      <c r="AI13" s="361"/>
      <c r="AJ13" s="361"/>
      <c r="AK13" s="361"/>
      <c r="AL13" s="361"/>
      <c r="AM13" s="361"/>
      <c r="AN13" s="361"/>
      <c r="AO13" s="361"/>
      <c r="AP13" s="361"/>
      <c r="AQ13" s="361"/>
      <c r="AR13" s="361"/>
      <c r="AS13" s="361"/>
      <c r="AT13" s="361"/>
      <c r="AU13" s="361"/>
      <c r="AV13" s="361"/>
      <c r="AW13" s="361"/>
      <c r="AX13" s="361"/>
      <c r="AY13" s="361"/>
      <c r="AZ13" s="361"/>
      <c r="BA13" s="361"/>
      <c r="BB13" s="361"/>
      <c r="BC13" s="361"/>
      <c r="BD13" s="361"/>
      <c r="BE13" s="361"/>
      <c r="BF13" s="361"/>
      <c r="BG13" s="361"/>
      <c r="BH13" s="361"/>
      <c r="BI13" s="361"/>
      <c r="BJ13" s="361"/>
      <c r="BK13" s="361"/>
      <c r="BL13" s="361"/>
      <c r="BM13" s="361"/>
      <c r="BN13" s="361"/>
      <c r="BO13" s="361"/>
      <c r="BP13" s="361"/>
      <c r="BQ13" s="361"/>
      <c r="BR13" s="361"/>
      <c r="BS13" s="361"/>
      <c r="BT13" s="361"/>
      <c r="BU13" s="361"/>
      <c r="BV13" s="361"/>
      <c r="BW13" s="361"/>
      <c r="BX13" s="361"/>
      <c r="BY13" s="361"/>
      <c r="BZ13" s="361"/>
      <c r="CA13" s="361"/>
      <c r="CB13" s="361"/>
      <c r="CC13" s="361"/>
      <c r="CD13" s="361"/>
      <c r="CE13" s="361"/>
      <c r="CF13" s="361"/>
      <c r="CG13" s="361"/>
      <c r="CH13" s="361"/>
      <c r="CI13" s="361"/>
      <c r="CJ13" s="361"/>
      <c r="CK13" s="361"/>
      <c r="CL13" s="361"/>
      <c r="CM13" s="361"/>
      <c r="CN13" s="361"/>
      <c r="CO13" s="361"/>
      <c r="CP13" s="361"/>
      <c r="CQ13" s="361"/>
      <c r="CR13" s="361"/>
      <c r="CS13" s="361"/>
      <c r="CT13" s="361"/>
      <c r="CU13" s="361"/>
      <c r="CV13" s="361"/>
      <c r="CW13" s="361"/>
      <c r="CX13" s="361"/>
      <c r="CY13" s="361"/>
      <c r="CZ13" s="361"/>
      <c r="DA13" s="361"/>
    </row>
    <row r="14" spans="1:105" s="360" customFormat="1" ht="33" customHeight="1" x14ac:dyDescent="0.25">
      <c r="A14" s="359"/>
      <c r="B14" s="592"/>
      <c r="C14" s="451" t="s">
        <v>79</v>
      </c>
      <c r="D14" s="443" t="s">
        <v>48</v>
      </c>
      <c r="E14" s="444" t="s">
        <v>92</v>
      </c>
      <c r="F14" s="444" t="s">
        <v>85</v>
      </c>
      <c r="G14" s="445">
        <v>1176.5</v>
      </c>
      <c r="H14" s="589"/>
      <c r="I14" s="361"/>
      <c r="J14" s="585"/>
      <c r="K14" s="586"/>
      <c r="L14" s="361"/>
      <c r="M14" s="517"/>
      <c r="N14" s="518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61"/>
      <c r="AL14" s="361"/>
      <c r="AM14" s="361"/>
      <c r="AN14" s="361"/>
      <c r="AO14" s="361"/>
      <c r="AP14" s="361"/>
      <c r="AQ14" s="361"/>
      <c r="AR14" s="361"/>
      <c r="AS14" s="361"/>
      <c r="AT14" s="361"/>
      <c r="AU14" s="361"/>
      <c r="AV14" s="361"/>
      <c r="AW14" s="361"/>
      <c r="AX14" s="361"/>
      <c r="AY14" s="361"/>
      <c r="AZ14" s="361"/>
      <c r="BA14" s="361"/>
      <c r="BB14" s="361"/>
      <c r="BC14" s="361"/>
      <c r="BD14" s="361"/>
      <c r="BE14" s="361"/>
      <c r="BF14" s="361"/>
      <c r="BG14" s="361"/>
      <c r="BH14" s="361"/>
      <c r="BI14" s="361"/>
      <c r="BJ14" s="361"/>
      <c r="BK14" s="361"/>
      <c r="BL14" s="361"/>
      <c r="BM14" s="361"/>
      <c r="BN14" s="361"/>
      <c r="BO14" s="361"/>
      <c r="BP14" s="361"/>
      <c r="BQ14" s="361"/>
      <c r="BR14" s="361"/>
      <c r="BS14" s="361"/>
      <c r="BT14" s="361"/>
      <c r="BU14" s="361"/>
      <c r="BV14" s="361"/>
      <c r="BW14" s="361"/>
      <c r="BX14" s="361"/>
      <c r="BY14" s="361"/>
      <c r="BZ14" s="361"/>
      <c r="CA14" s="361"/>
      <c r="CB14" s="361"/>
      <c r="CC14" s="361"/>
      <c r="CD14" s="361"/>
      <c r="CE14" s="361"/>
      <c r="CF14" s="361"/>
      <c r="CG14" s="361"/>
      <c r="CH14" s="361"/>
      <c r="CI14" s="361"/>
      <c r="CJ14" s="361"/>
      <c r="CK14" s="361"/>
      <c r="CL14" s="361"/>
      <c r="CM14" s="361"/>
      <c r="CN14" s="361"/>
      <c r="CO14" s="361"/>
      <c r="CP14" s="361"/>
      <c r="CQ14" s="361"/>
      <c r="CR14" s="361"/>
      <c r="CS14" s="361"/>
      <c r="CT14" s="361"/>
      <c r="CU14" s="361"/>
      <c r="CV14" s="361"/>
      <c r="CW14" s="361"/>
      <c r="CX14" s="361"/>
      <c r="CY14" s="361"/>
      <c r="CZ14" s="361"/>
      <c r="DA14" s="361"/>
    </row>
    <row r="15" spans="1:105" s="360" customFormat="1" ht="31.5" customHeight="1" thickBot="1" x14ac:dyDescent="0.3">
      <c r="A15" s="359"/>
      <c r="B15" s="593"/>
      <c r="C15" s="452" t="s">
        <v>79</v>
      </c>
      <c r="D15" s="447" t="s">
        <v>48</v>
      </c>
      <c r="E15" s="448" t="s">
        <v>93</v>
      </c>
      <c r="F15" s="448" t="s">
        <v>86</v>
      </c>
      <c r="G15" s="449">
        <v>936.8</v>
      </c>
      <c r="H15" s="590"/>
      <c r="I15" s="361"/>
      <c r="J15" s="585"/>
      <c r="K15" s="586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361"/>
      <c r="AE15" s="361"/>
      <c r="AF15" s="361"/>
      <c r="AG15" s="361"/>
      <c r="AH15" s="361"/>
      <c r="AI15" s="361"/>
      <c r="AJ15" s="361"/>
      <c r="AK15" s="361"/>
      <c r="AL15" s="361"/>
      <c r="AM15" s="361"/>
      <c r="AN15" s="361"/>
      <c r="AO15" s="361"/>
      <c r="AP15" s="361"/>
      <c r="AQ15" s="361"/>
      <c r="AR15" s="361"/>
      <c r="AS15" s="361"/>
      <c r="AT15" s="361"/>
      <c r="AU15" s="361"/>
      <c r="AV15" s="361"/>
      <c r="AW15" s="361"/>
      <c r="AX15" s="361"/>
      <c r="AY15" s="361"/>
      <c r="AZ15" s="361"/>
      <c r="BA15" s="361"/>
      <c r="BB15" s="361"/>
      <c r="BC15" s="361"/>
      <c r="BD15" s="361"/>
      <c r="BE15" s="361"/>
      <c r="BF15" s="361"/>
      <c r="BG15" s="361"/>
      <c r="BH15" s="361"/>
      <c r="BI15" s="361"/>
      <c r="BJ15" s="361"/>
      <c r="BK15" s="361"/>
      <c r="BL15" s="361"/>
      <c r="BM15" s="361"/>
      <c r="BN15" s="361"/>
      <c r="BO15" s="361"/>
      <c r="BP15" s="361"/>
      <c r="BQ15" s="361"/>
      <c r="BR15" s="361"/>
      <c r="BS15" s="361"/>
      <c r="BT15" s="361"/>
      <c r="BU15" s="361"/>
      <c r="BV15" s="361"/>
      <c r="BW15" s="361"/>
      <c r="BX15" s="361"/>
      <c r="BY15" s="361"/>
      <c r="BZ15" s="361"/>
      <c r="CA15" s="361"/>
      <c r="CB15" s="361"/>
      <c r="CC15" s="361"/>
      <c r="CD15" s="361"/>
      <c r="CE15" s="361"/>
      <c r="CF15" s="361"/>
      <c r="CG15" s="361"/>
      <c r="CH15" s="361"/>
      <c r="CI15" s="361"/>
      <c r="CJ15" s="361"/>
      <c r="CK15" s="361"/>
      <c r="CL15" s="361"/>
      <c r="CM15" s="361"/>
      <c r="CN15" s="361"/>
      <c r="CO15" s="361"/>
      <c r="CP15" s="361"/>
      <c r="CQ15" s="361"/>
      <c r="CR15" s="361"/>
      <c r="CS15" s="361"/>
      <c r="CT15" s="361"/>
      <c r="CU15" s="361"/>
      <c r="CV15" s="361"/>
      <c r="CW15" s="361"/>
      <c r="CX15" s="361"/>
      <c r="CY15" s="361"/>
      <c r="CZ15" s="361"/>
      <c r="DA15" s="361"/>
    </row>
    <row r="16" spans="1:105" s="360" customFormat="1" ht="33" customHeight="1" x14ac:dyDescent="0.25">
      <c r="A16" s="359"/>
      <c r="B16" s="592">
        <v>4</v>
      </c>
      <c r="C16" s="451" t="s">
        <v>51</v>
      </c>
      <c r="D16" s="443" t="s">
        <v>37</v>
      </c>
      <c r="E16" s="444" t="s">
        <v>53</v>
      </c>
      <c r="F16" s="444" t="s">
        <v>54</v>
      </c>
      <c r="G16" s="445">
        <v>457.3</v>
      </c>
      <c r="H16" s="589">
        <f>'Relatorios LOTE 04'!F151</f>
        <v>4396675.3499999996</v>
      </c>
      <c r="I16" s="361"/>
      <c r="J16" s="587">
        <f>'Custo Gerencial LOTE 04'!G63</f>
        <v>1563022.1237023724</v>
      </c>
      <c r="K16" s="584">
        <f>J16/SUM(G16:G17)</f>
        <v>1679.4048820268317</v>
      </c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61"/>
      <c r="AD16" s="361"/>
      <c r="AE16" s="361"/>
      <c r="AF16" s="361"/>
      <c r="AG16" s="361"/>
      <c r="AH16" s="361"/>
      <c r="AI16" s="361"/>
      <c r="AJ16" s="361"/>
      <c r="AK16" s="361"/>
      <c r="AL16" s="361"/>
      <c r="AM16" s="361"/>
      <c r="AN16" s="361"/>
      <c r="AO16" s="361"/>
      <c r="AP16" s="361"/>
      <c r="AQ16" s="361"/>
      <c r="AR16" s="361"/>
      <c r="AS16" s="361"/>
      <c r="AT16" s="361"/>
      <c r="AU16" s="361"/>
      <c r="AV16" s="361"/>
      <c r="AW16" s="361"/>
      <c r="AX16" s="361"/>
      <c r="AY16" s="361"/>
      <c r="AZ16" s="361"/>
      <c r="BA16" s="361"/>
      <c r="BB16" s="361"/>
      <c r="BC16" s="361"/>
      <c r="BD16" s="361"/>
      <c r="BE16" s="361"/>
      <c r="BF16" s="361"/>
      <c r="BG16" s="361"/>
      <c r="BH16" s="361"/>
      <c r="BI16" s="361"/>
      <c r="BJ16" s="361"/>
      <c r="BK16" s="361"/>
      <c r="BL16" s="361"/>
      <c r="BM16" s="361"/>
      <c r="BN16" s="361"/>
      <c r="BO16" s="361"/>
      <c r="BP16" s="361"/>
      <c r="BQ16" s="361"/>
      <c r="BR16" s="361"/>
      <c r="BS16" s="361"/>
      <c r="BT16" s="361"/>
      <c r="BU16" s="361"/>
      <c r="BV16" s="361"/>
      <c r="BW16" s="361"/>
      <c r="BX16" s="361"/>
      <c r="BY16" s="361"/>
      <c r="BZ16" s="361"/>
      <c r="CA16" s="361"/>
      <c r="CB16" s="361"/>
      <c r="CC16" s="361"/>
      <c r="CD16" s="361"/>
      <c r="CE16" s="361"/>
      <c r="CF16" s="361"/>
      <c r="CG16" s="361"/>
      <c r="CH16" s="361"/>
      <c r="CI16" s="361"/>
      <c r="CJ16" s="361"/>
      <c r="CK16" s="361"/>
      <c r="CL16" s="361"/>
      <c r="CM16" s="361"/>
      <c r="CN16" s="361"/>
      <c r="CO16" s="361"/>
      <c r="CP16" s="361"/>
      <c r="CQ16" s="361"/>
      <c r="CR16" s="361"/>
      <c r="CS16" s="361"/>
      <c r="CT16" s="361"/>
      <c r="CU16" s="361"/>
      <c r="CV16" s="361"/>
      <c r="CW16" s="361"/>
      <c r="CX16" s="361"/>
      <c r="CY16" s="361"/>
      <c r="CZ16" s="361"/>
      <c r="DA16" s="361"/>
    </row>
    <row r="17" spans="1:105" s="360" customFormat="1" ht="33" customHeight="1" thickBot="1" x14ac:dyDescent="0.3">
      <c r="A17" s="359"/>
      <c r="B17" s="593"/>
      <c r="C17" s="446" t="s">
        <v>51</v>
      </c>
      <c r="D17" s="453" t="s">
        <v>55</v>
      </c>
      <c r="E17" s="454" t="s">
        <v>56</v>
      </c>
      <c r="F17" s="454" t="s">
        <v>57</v>
      </c>
      <c r="G17" s="449">
        <v>473.4</v>
      </c>
      <c r="H17" s="590"/>
      <c r="I17" s="361"/>
      <c r="J17" s="587"/>
      <c r="K17" s="584"/>
      <c r="L17" s="361"/>
      <c r="M17" s="517"/>
      <c r="N17" s="518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  <c r="AI17" s="361"/>
      <c r="AJ17" s="361"/>
      <c r="AK17" s="361"/>
      <c r="AL17" s="361"/>
      <c r="AM17" s="361"/>
      <c r="AN17" s="361"/>
      <c r="AO17" s="361"/>
      <c r="AP17" s="361"/>
      <c r="AQ17" s="361"/>
      <c r="AR17" s="361"/>
      <c r="AS17" s="361"/>
      <c r="AT17" s="361"/>
      <c r="AU17" s="361"/>
      <c r="AV17" s="361"/>
      <c r="AW17" s="361"/>
      <c r="AX17" s="361"/>
      <c r="AY17" s="361"/>
      <c r="AZ17" s="361"/>
      <c r="BA17" s="361"/>
      <c r="BB17" s="361"/>
      <c r="BC17" s="361"/>
      <c r="BD17" s="361"/>
      <c r="BE17" s="361"/>
      <c r="BF17" s="361"/>
      <c r="BG17" s="361"/>
      <c r="BH17" s="361"/>
      <c r="BI17" s="361"/>
      <c r="BJ17" s="361"/>
      <c r="BK17" s="361"/>
      <c r="BL17" s="361"/>
      <c r="BM17" s="361"/>
      <c r="BN17" s="361"/>
      <c r="BO17" s="361"/>
      <c r="BP17" s="361"/>
      <c r="BQ17" s="361"/>
      <c r="BR17" s="361"/>
      <c r="BS17" s="361"/>
      <c r="BT17" s="361"/>
      <c r="BU17" s="361"/>
      <c r="BV17" s="361"/>
      <c r="BW17" s="361"/>
      <c r="BX17" s="361"/>
      <c r="BY17" s="361"/>
      <c r="BZ17" s="361"/>
      <c r="CA17" s="361"/>
      <c r="CB17" s="361"/>
      <c r="CC17" s="361"/>
      <c r="CD17" s="361"/>
      <c r="CE17" s="361"/>
      <c r="CF17" s="361"/>
      <c r="CG17" s="361"/>
      <c r="CH17" s="361"/>
      <c r="CI17" s="361"/>
      <c r="CJ17" s="361"/>
      <c r="CK17" s="361"/>
      <c r="CL17" s="361"/>
      <c r="CM17" s="361"/>
      <c r="CN17" s="361"/>
      <c r="CO17" s="361"/>
      <c r="CP17" s="361"/>
      <c r="CQ17" s="361"/>
      <c r="CR17" s="361"/>
      <c r="CS17" s="361"/>
      <c r="CT17" s="361"/>
      <c r="CU17" s="361"/>
      <c r="CV17" s="361"/>
      <c r="CW17" s="361"/>
      <c r="CX17" s="361"/>
      <c r="CY17" s="361"/>
      <c r="CZ17" s="361"/>
      <c r="DA17" s="361"/>
    </row>
    <row r="18" spans="1:105" s="360" customFormat="1" ht="33" customHeight="1" x14ac:dyDescent="0.25">
      <c r="A18" s="359"/>
      <c r="B18" s="592">
        <v>5</v>
      </c>
      <c r="C18" s="450" t="s">
        <v>58</v>
      </c>
      <c r="D18" s="439" t="s">
        <v>38</v>
      </c>
      <c r="E18" s="440" t="s">
        <v>59</v>
      </c>
      <c r="F18" s="440" t="s">
        <v>60</v>
      </c>
      <c r="G18" s="441">
        <v>412.7</v>
      </c>
      <c r="H18" s="589">
        <f>'Relatorios LOTE 05'!F151</f>
        <v>4181330.11</v>
      </c>
      <c r="I18" s="361"/>
      <c r="J18" s="585">
        <f>'Custo Gerencial LOTE 05'!G63</f>
        <v>1563120.0845023724</v>
      </c>
      <c r="K18" s="586">
        <f>J18/SUM(G18:G19)</f>
        <v>1909.5041345008217</v>
      </c>
      <c r="L18" s="361"/>
      <c r="M18" s="361"/>
      <c r="N18" s="540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361"/>
      <c r="AC18" s="361"/>
      <c r="AD18" s="361"/>
      <c r="AE18" s="361"/>
      <c r="AF18" s="361"/>
      <c r="AG18" s="361"/>
      <c r="AH18" s="361"/>
      <c r="AI18" s="361"/>
      <c r="AJ18" s="361"/>
      <c r="AK18" s="361"/>
      <c r="AL18" s="361"/>
      <c r="AM18" s="361"/>
      <c r="AN18" s="361"/>
      <c r="AO18" s="361"/>
      <c r="AP18" s="361"/>
      <c r="AQ18" s="361"/>
      <c r="AR18" s="361"/>
      <c r="AS18" s="361"/>
      <c r="AT18" s="361"/>
      <c r="AU18" s="361"/>
      <c r="AV18" s="361"/>
      <c r="AW18" s="361"/>
      <c r="AX18" s="361"/>
      <c r="AY18" s="361"/>
      <c r="AZ18" s="361"/>
      <c r="BA18" s="361"/>
      <c r="BB18" s="361"/>
      <c r="BC18" s="361"/>
      <c r="BD18" s="361"/>
      <c r="BE18" s="361"/>
      <c r="BF18" s="361"/>
      <c r="BG18" s="361"/>
      <c r="BH18" s="361"/>
      <c r="BI18" s="361"/>
      <c r="BJ18" s="361"/>
      <c r="BK18" s="361"/>
      <c r="BL18" s="361"/>
      <c r="BM18" s="361"/>
      <c r="BN18" s="361"/>
      <c r="BO18" s="361"/>
      <c r="BP18" s="361"/>
      <c r="BQ18" s="361"/>
      <c r="BR18" s="361"/>
      <c r="BS18" s="361"/>
      <c r="BT18" s="361"/>
      <c r="BU18" s="361"/>
      <c r="BV18" s="361"/>
      <c r="BW18" s="361"/>
      <c r="BX18" s="361"/>
      <c r="BY18" s="361"/>
      <c r="BZ18" s="361"/>
      <c r="CA18" s="361"/>
      <c r="CB18" s="361"/>
      <c r="CC18" s="361"/>
      <c r="CD18" s="361"/>
      <c r="CE18" s="361"/>
      <c r="CF18" s="361"/>
      <c r="CG18" s="361"/>
      <c r="CH18" s="361"/>
      <c r="CI18" s="361"/>
      <c r="CJ18" s="361"/>
      <c r="CK18" s="361"/>
      <c r="CL18" s="361"/>
      <c r="CM18" s="361"/>
      <c r="CN18" s="361"/>
      <c r="CO18" s="361"/>
      <c r="CP18" s="361"/>
      <c r="CQ18" s="361"/>
      <c r="CR18" s="361"/>
      <c r="CS18" s="361"/>
      <c r="CT18" s="361"/>
      <c r="CU18" s="361"/>
      <c r="CV18" s="361"/>
      <c r="CW18" s="361"/>
      <c r="CX18" s="361"/>
      <c r="CY18" s="361"/>
      <c r="CZ18" s="361"/>
      <c r="DA18" s="361"/>
    </row>
    <row r="19" spans="1:105" s="360" customFormat="1" ht="33" customHeight="1" thickBot="1" x14ac:dyDescent="0.3">
      <c r="A19" s="359"/>
      <c r="B19" s="592"/>
      <c r="C19" s="452" t="s">
        <v>58</v>
      </c>
      <c r="D19" s="447" t="s">
        <v>38</v>
      </c>
      <c r="E19" s="448" t="s">
        <v>61</v>
      </c>
      <c r="F19" s="448" t="s">
        <v>62</v>
      </c>
      <c r="G19" s="449">
        <v>405.9</v>
      </c>
      <c r="H19" s="589"/>
      <c r="I19" s="361"/>
      <c r="J19" s="585"/>
      <c r="K19" s="586"/>
      <c r="L19" s="361"/>
      <c r="M19" s="517"/>
      <c r="N19" s="541"/>
      <c r="O19" s="361"/>
      <c r="P19" s="361"/>
      <c r="Q19" s="361"/>
      <c r="R19" s="361"/>
      <c r="S19" s="361"/>
      <c r="T19" s="361"/>
      <c r="U19" s="361"/>
      <c r="V19" s="361"/>
      <c r="W19" s="361"/>
      <c r="X19" s="361"/>
      <c r="Y19" s="361"/>
      <c r="Z19" s="361"/>
      <c r="AA19" s="361"/>
      <c r="AB19" s="361"/>
      <c r="AC19" s="361"/>
      <c r="AD19" s="361"/>
      <c r="AE19" s="361"/>
      <c r="AF19" s="361"/>
      <c r="AG19" s="361"/>
      <c r="AH19" s="361"/>
      <c r="AI19" s="361"/>
      <c r="AJ19" s="361"/>
      <c r="AK19" s="361"/>
      <c r="AL19" s="361"/>
      <c r="AM19" s="361"/>
      <c r="AN19" s="361"/>
      <c r="AO19" s="361"/>
      <c r="AP19" s="361"/>
      <c r="AQ19" s="361"/>
      <c r="AR19" s="361"/>
      <c r="AS19" s="361"/>
      <c r="AT19" s="361"/>
      <c r="AU19" s="361"/>
      <c r="AV19" s="361"/>
      <c r="AW19" s="361"/>
      <c r="AX19" s="361"/>
      <c r="AY19" s="361"/>
      <c r="AZ19" s="361"/>
      <c r="BA19" s="361"/>
      <c r="BB19" s="361"/>
      <c r="BC19" s="361"/>
      <c r="BD19" s="361"/>
      <c r="BE19" s="361"/>
      <c r="BF19" s="361"/>
      <c r="BG19" s="361"/>
      <c r="BH19" s="361"/>
      <c r="BI19" s="361"/>
      <c r="BJ19" s="361"/>
      <c r="BK19" s="361"/>
      <c r="BL19" s="361"/>
      <c r="BM19" s="361"/>
      <c r="BN19" s="361"/>
      <c r="BO19" s="361"/>
      <c r="BP19" s="361"/>
      <c r="BQ19" s="361"/>
      <c r="BR19" s="361"/>
      <c r="BS19" s="361"/>
      <c r="BT19" s="361"/>
      <c r="BU19" s="361"/>
      <c r="BV19" s="361"/>
      <c r="BW19" s="361"/>
      <c r="BX19" s="361"/>
      <c r="BY19" s="361"/>
      <c r="BZ19" s="361"/>
      <c r="CA19" s="361"/>
      <c r="CB19" s="361"/>
      <c r="CC19" s="361"/>
      <c r="CD19" s="361"/>
      <c r="CE19" s="361"/>
      <c r="CF19" s="361"/>
      <c r="CG19" s="361"/>
      <c r="CH19" s="361"/>
      <c r="CI19" s="361"/>
      <c r="CJ19" s="361"/>
      <c r="CK19" s="361"/>
      <c r="CL19" s="361"/>
      <c r="CM19" s="361"/>
      <c r="CN19" s="361"/>
      <c r="CO19" s="361"/>
      <c r="CP19" s="361"/>
      <c r="CQ19" s="361"/>
      <c r="CR19" s="361"/>
      <c r="CS19" s="361"/>
      <c r="CT19" s="361"/>
      <c r="CU19" s="361"/>
      <c r="CV19" s="361"/>
      <c r="CW19" s="361"/>
      <c r="CX19" s="361"/>
      <c r="CY19" s="361"/>
      <c r="CZ19" s="361"/>
      <c r="DA19" s="361"/>
    </row>
    <row r="20" spans="1:105" s="360" customFormat="1" ht="33" customHeight="1" x14ac:dyDescent="0.25">
      <c r="A20" s="359"/>
      <c r="B20" s="594">
        <v>6</v>
      </c>
      <c r="C20" s="438" t="s">
        <v>63</v>
      </c>
      <c r="D20" s="455" t="s">
        <v>38</v>
      </c>
      <c r="E20" s="456" t="s">
        <v>64</v>
      </c>
      <c r="F20" s="440" t="s">
        <v>65</v>
      </c>
      <c r="G20" s="441">
        <v>680.6</v>
      </c>
      <c r="H20" s="588">
        <f>'Relatorios LOTE 06'!F151</f>
        <v>4921867.3899999997</v>
      </c>
      <c r="I20" s="361"/>
      <c r="J20" s="587">
        <f>'Custo Gerencial LOTE 06'!G63</f>
        <v>1600592.0497183723</v>
      </c>
      <c r="K20" s="584">
        <f>J20/SUM(G20:G21)</f>
        <v>1383.9965842787483</v>
      </c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361"/>
      <c r="AP20" s="361"/>
      <c r="AQ20" s="361"/>
      <c r="AR20" s="361"/>
      <c r="AS20" s="361"/>
      <c r="AT20" s="361"/>
      <c r="AU20" s="361"/>
      <c r="AV20" s="361"/>
      <c r="AW20" s="361"/>
      <c r="AX20" s="361"/>
      <c r="AY20" s="361"/>
      <c r="AZ20" s="361"/>
      <c r="BA20" s="361"/>
      <c r="BB20" s="361"/>
      <c r="BC20" s="361"/>
      <c r="BD20" s="361"/>
      <c r="BE20" s="361"/>
      <c r="BF20" s="361"/>
      <c r="BG20" s="361"/>
      <c r="BH20" s="361"/>
      <c r="BI20" s="361"/>
      <c r="BJ20" s="361"/>
      <c r="BK20" s="361"/>
      <c r="BL20" s="361"/>
      <c r="BM20" s="361"/>
      <c r="BN20" s="361"/>
      <c r="BO20" s="361"/>
      <c r="BP20" s="361"/>
      <c r="BQ20" s="361"/>
      <c r="BR20" s="361"/>
      <c r="BS20" s="361"/>
      <c r="BT20" s="361"/>
      <c r="BU20" s="361"/>
      <c r="BV20" s="361"/>
      <c r="BW20" s="361"/>
      <c r="BX20" s="361"/>
      <c r="BY20" s="361"/>
      <c r="BZ20" s="361"/>
      <c r="CA20" s="361"/>
      <c r="CB20" s="361"/>
      <c r="CC20" s="361"/>
      <c r="CD20" s="361"/>
      <c r="CE20" s="361"/>
      <c r="CF20" s="361"/>
      <c r="CG20" s="361"/>
      <c r="CH20" s="361"/>
      <c r="CI20" s="361"/>
      <c r="CJ20" s="361"/>
      <c r="CK20" s="361"/>
      <c r="CL20" s="361"/>
      <c r="CM20" s="361"/>
      <c r="CN20" s="361"/>
      <c r="CO20" s="361"/>
      <c r="CP20" s="361"/>
      <c r="CQ20" s="361"/>
      <c r="CR20" s="361"/>
      <c r="CS20" s="361"/>
      <c r="CT20" s="361"/>
      <c r="CU20" s="361"/>
      <c r="CV20" s="361"/>
      <c r="CW20" s="361"/>
      <c r="CX20" s="361"/>
      <c r="CY20" s="361"/>
      <c r="CZ20" s="361"/>
      <c r="DA20" s="361"/>
    </row>
    <row r="21" spans="1:105" s="360" customFormat="1" ht="33" customHeight="1" thickBot="1" x14ac:dyDescent="0.3">
      <c r="A21" s="359"/>
      <c r="B21" s="593"/>
      <c r="C21" s="446" t="s">
        <v>66</v>
      </c>
      <c r="D21" s="453" t="s">
        <v>48</v>
      </c>
      <c r="E21" s="454" t="s">
        <v>67</v>
      </c>
      <c r="F21" s="448" t="s">
        <v>68</v>
      </c>
      <c r="G21" s="449">
        <v>475.9</v>
      </c>
      <c r="H21" s="590"/>
      <c r="I21" s="361"/>
      <c r="J21" s="587"/>
      <c r="K21" s="584"/>
      <c r="L21" s="361"/>
      <c r="M21" s="517"/>
      <c r="N21" s="518"/>
      <c r="O21" s="361"/>
      <c r="P21" s="361"/>
      <c r="Q21" s="361"/>
      <c r="R21" s="361"/>
      <c r="S21" s="361"/>
      <c r="T21" s="361"/>
      <c r="U21" s="361"/>
      <c r="V21" s="361"/>
      <c r="W21" s="361"/>
      <c r="X21" s="361"/>
      <c r="Y21" s="361"/>
      <c r="Z21" s="361"/>
      <c r="AA21" s="361"/>
      <c r="AB21" s="361"/>
      <c r="AC21" s="361"/>
      <c r="AD21" s="361"/>
      <c r="AE21" s="361"/>
      <c r="AF21" s="361"/>
      <c r="AG21" s="361"/>
      <c r="AH21" s="361"/>
      <c r="AI21" s="361"/>
      <c r="AJ21" s="361"/>
      <c r="AK21" s="361"/>
      <c r="AL21" s="361"/>
      <c r="AM21" s="361"/>
      <c r="AN21" s="361"/>
      <c r="AO21" s="361"/>
      <c r="AP21" s="361"/>
      <c r="AQ21" s="361"/>
      <c r="AR21" s="361"/>
      <c r="AS21" s="361"/>
      <c r="AT21" s="361"/>
      <c r="AU21" s="361"/>
      <c r="AV21" s="361"/>
      <c r="AW21" s="361"/>
      <c r="AX21" s="361"/>
      <c r="AY21" s="361"/>
      <c r="AZ21" s="361"/>
      <c r="BA21" s="361"/>
      <c r="BB21" s="361"/>
      <c r="BC21" s="361"/>
      <c r="BD21" s="361"/>
      <c r="BE21" s="361"/>
      <c r="BF21" s="361"/>
      <c r="BG21" s="361"/>
      <c r="BH21" s="361"/>
      <c r="BI21" s="361"/>
      <c r="BJ21" s="361"/>
      <c r="BK21" s="361"/>
      <c r="BL21" s="361"/>
      <c r="BM21" s="361"/>
      <c r="BN21" s="361"/>
      <c r="BO21" s="361"/>
      <c r="BP21" s="361"/>
      <c r="BQ21" s="361"/>
      <c r="BR21" s="361"/>
      <c r="BS21" s="361"/>
      <c r="BT21" s="361"/>
      <c r="BU21" s="361"/>
      <c r="BV21" s="361"/>
      <c r="BW21" s="361"/>
      <c r="BX21" s="361"/>
      <c r="BY21" s="361"/>
      <c r="BZ21" s="361"/>
      <c r="CA21" s="361"/>
      <c r="CB21" s="361"/>
      <c r="CC21" s="361"/>
      <c r="CD21" s="361"/>
      <c r="CE21" s="361"/>
      <c r="CF21" s="361"/>
      <c r="CG21" s="361"/>
      <c r="CH21" s="361"/>
      <c r="CI21" s="361"/>
      <c r="CJ21" s="361"/>
      <c r="CK21" s="361"/>
      <c r="CL21" s="361"/>
      <c r="CM21" s="361"/>
      <c r="CN21" s="361"/>
      <c r="CO21" s="361"/>
      <c r="CP21" s="361"/>
      <c r="CQ21" s="361"/>
      <c r="CR21" s="361"/>
      <c r="CS21" s="361"/>
      <c r="CT21" s="361"/>
      <c r="CU21" s="361"/>
      <c r="CV21" s="361"/>
      <c r="CW21" s="361"/>
      <c r="CX21" s="361"/>
      <c r="CY21" s="361"/>
      <c r="CZ21" s="361"/>
      <c r="DA21" s="361"/>
    </row>
    <row r="22" spans="1:105" s="360" customFormat="1" ht="33" customHeight="1" x14ac:dyDescent="0.25">
      <c r="A22" s="359"/>
      <c r="B22" s="592">
        <v>7</v>
      </c>
      <c r="C22" s="450" t="s">
        <v>80</v>
      </c>
      <c r="D22" s="439" t="s">
        <v>48</v>
      </c>
      <c r="E22" s="440" t="s">
        <v>94</v>
      </c>
      <c r="F22" s="440" t="s">
        <v>87</v>
      </c>
      <c r="G22" s="441">
        <v>436.6</v>
      </c>
      <c r="H22" s="588">
        <f>'Relatorios LOTE 07'!F151</f>
        <v>7859739.4800000004</v>
      </c>
      <c r="I22" s="361"/>
      <c r="J22" s="585">
        <f>'Custo Gerencial LOTE 06'!G63</f>
        <v>1600592.0497183723</v>
      </c>
      <c r="K22" s="586">
        <f>J22/SUM(G22:G24)</f>
        <v>749.7971844841768</v>
      </c>
      <c r="L22" s="361"/>
      <c r="M22" s="361"/>
      <c r="N22" s="361"/>
      <c r="O22" s="361"/>
      <c r="P22" s="361"/>
      <c r="Q22" s="361"/>
      <c r="R22" s="361"/>
      <c r="S22" s="361"/>
      <c r="T22" s="361"/>
      <c r="U22" s="361"/>
      <c r="V22" s="361"/>
      <c r="W22" s="361"/>
      <c r="X22" s="361"/>
      <c r="Y22" s="361"/>
      <c r="Z22" s="361"/>
      <c r="AA22" s="361"/>
      <c r="AB22" s="361"/>
      <c r="AC22" s="361"/>
      <c r="AD22" s="361"/>
      <c r="AE22" s="361"/>
      <c r="AF22" s="361"/>
      <c r="AG22" s="361"/>
      <c r="AH22" s="361"/>
      <c r="AI22" s="361"/>
      <c r="AJ22" s="361"/>
      <c r="AK22" s="361"/>
      <c r="AL22" s="361"/>
      <c r="AM22" s="361"/>
      <c r="AN22" s="361"/>
      <c r="AO22" s="361"/>
      <c r="AP22" s="361"/>
      <c r="AQ22" s="361"/>
      <c r="AR22" s="361"/>
      <c r="AS22" s="361"/>
      <c r="AT22" s="361"/>
      <c r="AU22" s="361"/>
      <c r="AV22" s="361"/>
      <c r="AW22" s="361"/>
      <c r="AX22" s="361"/>
      <c r="AY22" s="361"/>
      <c r="AZ22" s="361"/>
      <c r="BA22" s="361"/>
      <c r="BB22" s="361"/>
      <c r="BC22" s="361"/>
      <c r="BD22" s="361"/>
      <c r="BE22" s="361"/>
      <c r="BF22" s="361"/>
      <c r="BG22" s="361"/>
      <c r="BH22" s="361"/>
      <c r="BI22" s="361"/>
      <c r="BJ22" s="361"/>
      <c r="BK22" s="361"/>
      <c r="BL22" s="361"/>
      <c r="BM22" s="361"/>
      <c r="BN22" s="361"/>
      <c r="BO22" s="361"/>
      <c r="BP22" s="361"/>
      <c r="BQ22" s="361"/>
      <c r="BR22" s="361"/>
      <c r="BS22" s="361"/>
      <c r="BT22" s="361"/>
      <c r="BU22" s="361"/>
      <c r="BV22" s="361"/>
      <c r="BW22" s="361"/>
      <c r="BX22" s="361"/>
      <c r="BY22" s="361"/>
      <c r="BZ22" s="361"/>
      <c r="CA22" s="361"/>
      <c r="CB22" s="361"/>
      <c r="CC22" s="361"/>
      <c r="CD22" s="361"/>
      <c r="CE22" s="361"/>
      <c r="CF22" s="361"/>
      <c r="CG22" s="361"/>
      <c r="CH22" s="361"/>
      <c r="CI22" s="361"/>
      <c r="CJ22" s="361"/>
      <c r="CK22" s="361"/>
      <c r="CL22" s="361"/>
      <c r="CM22" s="361"/>
      <c r="CN22" s="361"/>
      <c r="CO22" s="361"/>
      <c r="CP22" s="361"/>
      <c r="CQ22" s="361"/>
      <c r="CR22" s="361"/>
      <c r="CS22" s="361"/>
      <c r="CT22" s="361"/>
      <c r="CU22" s="361"/>
      <c r="CV22" s="361"/>
      <c r="CW22" s="361"/>
      <c r="CX22" s="361"/>
      <c r="CY22" s="361"/>
      <c r="CZ22" s="361"/>
      <c r="DA22" s="361"/>
    </row>
    <row r="23" spans="1:105" s="360" customFormat="1" ht="33" customHeight="1" x14ac:dyDescent="0.25">
      <c r="A23" s="359"/>
      <c r="B23" s="592"/>
      <c r="C23" s="451" t="s">
        <v>69</v>
      </c>
      <c r="D23" s="443" t="s">
        <v>48</v>
      </c>
      <c r="E23" s="444" t="s">
        <v>70</v>
      </c>
      <c r="F23" s="444" t="s">
        <v>71</v>
      </c>
      <c r="G23" s="445">
        <v>847.2</v>
      </c>
      <c r="H23" s="589"/>
      <c r="I23" s="361"/>
      <c r="J23" s="585"/>
      <c r="K23" s="586"/>
      <c r="L23" s="361"/>
      <c r="M23" s="517"/>
      <c r="N23" s="518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361"/>
      <c r="AP23" s="361"/>
      <c r="AQ23" s="361"/>
      <c r="AR23" s="361"/>
      <c r="AS23" s="361"/>
      <c r="AT23" s="361"/>
      <c r="AU23" s="361"/>
      <c r="AV23" s="361"/>
      <c r="AW23" s="361"/>
      <c r="AX23" s="361"/>
      <c r="AY23" s="361"/>
      <c r="AZ23" s="361"/>
      <c r="BA23" s="361"/>
      <c r="BB23" s="361"/>
      <c r="BC23" s="361"/>
      <c r="BD23" s="361"/>
      <c r="BE23" s="361"/>
      <c r="BF23" s="361"/>
      <c r="BG23" s="361"/>
      <c r="BH23" s="361"/>
      <c r="BI23" s="361"/>
      <c r="BJ23" s="361"/>
      <c r="BK23" s="361"/>
      <c r="BL23" s="361"/>
      <c r="BM23" s="361"/>
      <c r="BN23" s="361"/>
      <c r="BO23" s="361"/>
      <c r="BP23" s="361"/>
      <c r="BQ23" s="361"/>
      <c r="BR23" s="361"/>
      <c r="BS23" s="361"/>
      <c r="BT23" s="361"/>
      <c r="BU23" s="361"/>
      <c r="BV23" s="361"/>
      <c r="BW23" s="361"/>
      <c r="BX23" s="361"/>
      <c r="BY23" s="361"/>
      <c r="BZ23" s="361"/>
      <c r="CA23" s="361"/>
      <c r="CB23" s="361"/>
      <c r="CC23" s="361"/>
      <c r="CD23" s="361"/>
      <c r="CE23" s="361"/>
      <c r="CF23" s="361"/>
      <c r="CG23" s="361"/>
      <c r="CH23" s="361"/>
      <c r="CI23" s="361"/>
      <c r="CJ23" s="361"/>
      <c r="CK23" s="361"/>
      <c r="CL23" s="361"/>
      <c r="CM23" s="361"/>
      <c r="CN23" s="361"/>
      <c r="CO23" s="361"/>
      <c r="CP23" s="361"/>
      <c r="CQ23" s="361"/>
      <c r="CR23" s="361"/>
      <c r="CS23" s="361"/>
      <c r="CT23" s="361"/>
      <c r="CU23" s="361"/>
      <c r="CV23" s="361"/>
      <c r="CW23" s="361"/>
      <c r="CX23" s="361"/>
      <c r="CY23" s="361"/>
      <c r="CZ23" s="361"/>
      <c r="DA23" s="361"/>
    </row>
    <row r="24" spans="1:105" s="360" customFormat="1" ht="33" customHeight="1" thickBot="1" x14ac:dyDescent="0.3">
      <c r="A24" s="359"/>
      <c r="B24" s="593"/>
      <c r="C24" s="452" t="s">
        <v>72</v>
      </c>
      <c r="D24" s="447" t="s">
        <v>48</v>
      </c>
      <c r="E24" s="448" t="s">
        <v>73</v>
      </c>
      <c r="F24" s="448" t="s">
        <v>74</v>
      </c>
      <c r="G24" s="449">
        <v>850.9</v>
      </c>
      <c r="H24" s="590"/>
      <c r="I24" s="361"/>
      <c r="J24" s="585"/>
      <c r="K24" s="586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1"/>
      <c r="AD24" s="361"/>
      <c r="AE24" s="361"/>
      <c r="AF24" s="361"/>
      <c r="AG24" s="361"/>
      <c r="AH24" s="361"/>
      <c r="AI24" s="361"/>
      <c r="AJ24" s="361"/>
      <c r="AK24" s="361"/>
      <c r="AL24" s="361"/>
      <c r="AM24" s="361"/>
      <c r="AN24" s="361"/>
      <c r="AO24" s="361"/>
      <c r="AP24" s="361"/>
      <c r="AQ24" s="361"/>
      <c r="AR24" s="361"/>
      <c r="AS24" s="361"/>
      <c r="AT24" s="361"/>
      <c r="AU24" s="361"/>
      <c r="AV24" s="361"/>
      <c r="AW24" s="361"/>
      <c r="AX24" s="361"/>
      <c r="AY24" s="361"/>
      <c r="AZ24" s="361"/>
      <c r="BA24" s="361"/>
      <c r="BB24" s="361"/>
      <c r="BC24" s="361"/>
      <c r="BD24" s="361"/>
      <c r="BE24" s="361"/>
      <c r="BF24" s="361"/>
      <c r="BG24" s="361"/>
      <c r="BH24" s="361"/>
      <c r="BI24" s="361"/>
      <c r="BJ24" s="361"/>
      <c r="BK24" s="361"/>
      <c r="BL24" s="361"/>
      <c r="BM24" s="361"/>
      <c r="BN24" s="361"/>
      <c r="BO24" s="361"/>
      <c r="BP24" s="361"/>
      <c r="BQ24" s="361"/>
      <c r="BR24" s="361"/>
      <c r="BS24" s="361"/>
      <c r="BT24" s="361"/>
      <c r="BU24" s="361"/>
      <c r="BV24" s="361"/>
      <c r="BW24" s="361"/>
      <c r="BX24" s="361"/>
      <c r="BY24" s="361"/>
      <c r="BZ24" s="361"/>
      <c r="CA24" s="361"/>
      <c r="CB24" s="361"/>
      <c r="CC24" s="361"/>
      <c r="CD24" s="361"/>
      <c r="CE24" s="361"/>
      <c r="CF24" s="361"/>
      <c r="CG24" s="361"/>
      <c r="CH24" s="361"/>
      <c r="CI24" s="361"/>
      <c r="CJ24" s="361"/>
      <c r="CK24" s="361"/>
      <c r="CL24" s="361"/>
      <c r="CM24" s="361"/>
      <c r="CN24" s="361"/>
      <c r="CO24" s="361"/>
      <c r="CP24" s="361"/>
      <c r="CQ24" s="361"/>
      <c r="CR24" s="361"/>
      <c r="CS24" s="361"/>
      <c r="CT24" s="361"/>
      <c r="CU24" s="361"/>
      <c r="CV24" s="361"/>
      <c r="CW24" s="361"/>
      <c r="CX24" s="361"/>
      <c r="CY24" s="361"/>
      <c r="CZ24" s="361"/>
      <c r="DA24" s="361"/>
    </row>
    <row r="25" spans="1:105" s="360" customFormat="1" ht="40.5" customHeight="1" thickBot="1" x14ac:dyDescent="0.3">
      <c r="A25" s="359"/>
      <c r="B25" s="510"/>
      <c r="C25" s="511"/>
      <c r="D25" s="512"/>
      <c r="E25" s="511"/>
      <c r="F25" s="511" t="s">
        <v>75</v>
      </c>
      <c r="G25" s="513">
        <f>SUM(G5:G24)</f>
        <v>9697.2000000000007</v>
      </c>
      <c r="H25" s="516">
        <f>SUM(H5:H24)</f>
        <v>42010337.359999999</v>
      </c>
      <c r="I25" s="361"/>
      <c r="J25" s="550">
        <f>SUM(J5:J24)</f>
        <v>12003595.750938701</v>
      </c>
      <c r="K25" s="549" t="s">
        <v>75</v>
      </c>
      <c r="L25" s="361"/>
      <c r="M25" s="361"/>
      <c r="N25" s="540"/>
      <c r="O25" s="361"/>
      <c r="P25" s="361"/>
      <c r="Q25" s="361"/>
      <c r="R25" s="361"/>
      <c r="S25" s="361"/>
      <c r="T25" s="361"/>
      <c r="U25" s="361"/>
      <c r="V25" s="361"/>
      <c r="W25" s="361"/>
      <c r="X25" s="361"/>
      <c r="Y25" s="361"/>
      <c r="Z25" s="361"/>
      <c r="AA25" s="361"/>
      <c r="AB25" s="361"/>
      <c r="AC25" s="361"/>
      <c r="AD25" s="361"/>
      <c r="AE25" s="361"/>
      <c r="AF25" s="361"/>
      <c r="AG25" s="361"/>
      <c r="AH25" s="361"/>
      <c r="AI25" s="361"/>
      <c r="AJ25" s="361"/>
      <c r="AK25" s="361"/>
      <c r="AL25" s="361"/>
      <c r="AM25" s="361"/>
      <c r="AN25" s="361"/>
      <c r="AO25" s="361"/>
      <c r="AP25" s="361"/>
      <c r="AQ25" s="361"/>
      <c r="AR25" s="361"/>
      <c r="AS25" s="361"/>
      <c r="AT25" s="361"/>
      <c r="AU25" s="361"/>
      <c r="AV25" s="361"/>
      <c r="AW25" s="361"/>
      <c r="AX25" s="361"/>
      <c r="AY25" s="361"/>
      <c r="AZ25" s="361"/>
      <c r="BA25" s="361"/>
      <c r="BB25" s="361"/>
      <c r="BC25" s="361"/>
      <c r="BD25" s="361"/>
      <c r="BE25" s="361"/>
      <c r="BF25" s="361"/>
      <c r="BG25" s="361"/>
      <c r="BH25" s="361"/>
      <c r="BI25" s="361"/>
      <c r="BJ25" s="361"/>
      <c r="BK25" s="361"/>
      <c r="BL25" s="361"/>
      <c r="BM25" s="361"/>
      <c r="BN25" s="361"/>
      <c r="BO25" s="361"/>
      <c r="BP25" s="361"/>
      <c r="BQ25" s="361"/>
      <c r="BR25" s="361"/>
      <c r="BS25" s="361"/>
      <c r="BT25" s="361"/>
      <c r="BU25" s="361"/>
      <c r="BV25" s="361"/>
      <c r="BW25" s="361"/>
      <c r="BX25" s="361"/>
      <c r="BY25" s="361"/>
      <c r="BZ25" s="361"/>
      <c r="CA25" s="361"/>
      <c r="CB25" s="361"/>
      <c r="CC25" s="361"/>
      <c r="CD25" s="361"/>
      <c r="CE25" s="361"/>
      <c r="CF25" s="361"/>
      <c r="CG25" s="361"/>
      <c r="CH25" s="361"/>
      <c r="CI25" s="361"/>
      <c r="CJ25" s="361"/>
      <c r="CK25" s="361"/>
      <c r="CL25" s="361"/>
      <c r="CM25" s="361"/>
      <c r="CN25" s="361"/>
      <c r="CO25" s="361"/>
      <c r="CP25" s="361"/>
      <c r="CQ25" s="361"/>
      <c r="CR25" s="361"/>
      <c r="CS25" s="361"/>
      <c r="CT25" s="361"/>
      <c r="CU25" s="361"/>
      <c r="CV25" s="361"/>
      <c r="CW25" s="361"/>
      <c r="CX25" s="361"/>
      <c r="CY25" s="361"/>
      <c r="CZ25" s="361"/>
      <c r="DA25" s="361"/>
    </row>
    <row r="26" spans="1:105" s="359" customFormat="1" ht="18" x14ac:dyDescent="0.25">
      <c r="B26" s="457"/>
      <c r="C26" s="458"/>
      <c r="D26" s="459"/>
      <c r="E26" s="458"/>
      <c r="F26" s="458"/>
      <c r="G26" s="459"/>
      <c r="H26" s="458"/>
      <c r="I26" s="361"/>
      <c r="J26" s="361"/>
      <c r="K26" s="361"/>
      <c r="L26" s="361"/>
      <c r="M26" s="361"/>
      <c r="N26" s="542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1"/>
      <c r="AC26" s="361"/>
      <c r="AD26" s="361"/>
      <c r="AE26" s="361"/>
      <c r="AF26" s="361"/>
      <c r="AG26" s="361"/>
      <c r="AH26" s="361"/>
      <c r="AI26" s="361"/>
      <c r="AJ26" s="361"/>
      <c r="AK26" s="361"/>
      <c r="AL26" s="361"/>
      <c r="AM26" s="361"/>
      <c r="AN26" s="361"/>
      <c r="AO26" s="361"/>
      <c r="AP26" s="361"/>
      <c r="AQ26" s="361"/>
      <c r="AR26" s="361"/>
      <c r="AS26" s="361"/>
      <c r="AT26" s="361"/>
      <c r="AU26" s="361"/>
      <c r="AV26" s="361"/>
      <c r="AW26" s="361"/>
      <c r="AX26" s="361"/>
      <c r="AY26" s="361"/>
      <c r="AZ26" s="361"/>
      <c r="BA26" s="361"/>
      <c r="BB26" s="361"/>
      <c r="BC26" s="361"/>
      <c r="BD26" s="361"/>
      <c r="BE26" s="361"/>
      <c r="BF26" s="361"/>
      <c r="BG26" s="361"/>
      <c r="BH26" s="361"/>
      <c r="BI26" s="361"/>
      <c r="BJ26" s="361"/>
      <c r="BK26" s="361"/>
      <c r="BL26" s="361"/>
      <c r="BM26" s="361"/>
      <c r="BN26" s="361"/>
      <c r="BO26" s="361"/>
      <c r="BP26" s="361"/>
      <c r="BQ26" s="361"/>
      <c r="BR26" s="361"/>
      <c r="BS26" s="361"/>
      <c r="BT26" s="361"/>
      <c r="BU26" s="361"/>
      <c r="BV26" s="361"/>
      <c r="BW26" s="361"/>
      <c r="BX26" s="361"/>
      <c r="BY26" s="361"/>
      <c r="BZ26" s="361"/>
      <c r="CA26" s="361"/>
      <c r="CB26" s="361"/>
      <c r="CC26" s="361"/>
      <c r="CD26" s="361"/>
      <c r="CE26" s="361"/>
      <c r="CF26" s="361"/>
      <c r="CG26" s="361"/>
      <c r="CH26" s="361"/>
      <c r="CI26" s="361"/>
      <c r="CJ26" s="361"/>
      <c r="CK26" s="361"/>
      <c r="CL26" s="361"/>
      <c r="CM26" s="361"/>
      <c r="CN26" s="361"/>
      <c r="CO26" s="361"/>
      <c r="CP26" s="361"/>
      <c r="CQ26" s="361"/>
      <c r="CR26" s="361"/>
      <c r="CS26" s="361"/>
      <c r="CT26" s="361"/>
      <c r="CU26" s="361"/>
      <c r="CV26" s="361"/>
      <c r="CW26" s="361"/>
      <c r="CX26" s="361"/>
      <c r="CY26" s="361"/>
      <c r="CZ26" s="361"/>
      <c r="DA26" s="361"/>
    </row>
    <row r="27" spans="1:105" s="359" customFormat="1" ht="48" customHeight="1" x14ac:dyDescent="0.25">
      <c r="B27" s="458"/>
      <c r="C27" s="458"/>
      <c r="D27" s="460"/>
      <c r="E27" s="461"/>
      <c r="F27" s="461"/>
      <c r="G27" s="462" t="s">
        <v>76</v>
      </c>
      <c r="H27" s="463">
        <f>H25/G25</f>
        <v>4332.2131501876829</v>
      </c>
      <c r="I27" s="361"/>
      <c r="J27" s="361"/>
      <c r="K27" s="361"/>
      <c r="L27" s="361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1"/>
      <c r="X27" s="361"/>
      <c r="Y27" s="361"/>
      <c r="Z27" s="361"/>
      <c r="AA27" s="361"/>
      <c r="AB27" s="361"/>
      <c r="AC27" s="361"/>
      <c r="AD27" s="361"/>
      <c r="AE27" s="361"/>
      <c r="AF27" s="361"/>
      <c r="AG27" s="361"/>
      <c r="AH27" s="361"/>
      <c r="AI27" s="361"/>
      <c r="AJ27" s="361"/>
      <c r="AK27" s="361"/>
      <c r="AL27" s="361"/>
      <c r="AM27" s="361"/>
      <c r="AN27" s="361"/>
      <c r="AO27" s="361"/>
      <c r="AP27" s="361"/>
      <c r="AQ27" s="361"/>
      <c r="AR27" s="361"/>
      <c r="AS27" s="361"/>
      <c r="AT27" s="361"/>
      <c r="AU27" s="361"/>
      <c r="AV27" s="361"/>
      <c r="AW27" s="361"/>
      <c r="AX27" s="361"/>
      <c r="AY27" s="361"/>
      <c r="AZ27" s="361"/>
      <c r="BA27" s="361"/>
      <c r="BB27" s="361"/>
      <c r="BC27" s="361"/>
      <c r="BD27" s="361"/>
      <c r="BE27" s="361"/>
      <c r="BF27" s="361"/>
      <c r="BG27" s="361"/>
      <c r="BH27" s="361"/>
      <c r="BI27" s="361"/>
      <c r="BJ27" s="361"/>
      <c r="BK27" s="361"/>
      <c r="BL27" s="361"/>
      <c r="BM27" s="361"/>
      <c r="BN27" s="361"/>
      <c r="BO27" s="361"/>
      <c r="BP27" s="361"/>
      <c r="BQ27" s="361"/>
      <c r="BR27" s="361"/>
      <c r="BS27" s="361"/>
      <c r="BT27" s="361"/>
      <c r="BU27" s="361"/>
      <c r="BV27" s="361"/>
      <c r="BW27" s="361"/>
      <c r="BX27" s="361"/>
      <c r="BY27" s="361"/>
      <c r="BZ27" s="361"/>
      <c r="CA27" s="361"/>
      <c r="CB27" s="361"/>
      <c r="CC27" s="361"/>
      <c r="CD27" s="361"/>
      <c r="CE27" s="361"/>
      <c r="CF27" s="361"/>
      <c r="CG27" s="361"/>
      <c r="CH27" s="361"/>
      <c r="CI27" s="361"/>
      <c r="CJ27" s="361"/>
      <c r="CK27" s="361"/>
      <c r="CL27" s="361"/>
      <c r="CM27" s="361"/>
      <c r="CN27" s="361"/>
      <c r="CO27" s="361"/>
      <c r="CP27" s="361"/>
      <c r="CQ27" s="361"/>
      <c r="CR27" s="361"/>
      <c r="CS27" s="361"/>
      <c r="CT27" s="361"/>
      <c r="CU27" s="361"/>
      <c r="CV27" s="361"/>
      <c r="CW27" s="361"/>
      <c r="CX27" s="361"/>
      <c r="CY27" s="361"/>
      <c r="CZ27" s="361"/>
      <c r="DA27" s="361"/>
    </row>
    <row r="28" spans="1:105" s="362" customFormat="1" x14ac:dyDescent="0.2">
      <c r="B28" s="12"/>
      <c r="C28" s="12"/>
      <c r="D28" s="13"/>
      <c r="E28" s="12"/>
      <c r="F28" s="12"/>
      <c r="G28" s="13"/>
      <c r="H28" s="12"/>
      <c r="I28" s="437"/>
      <c r="J28" s="437"/>
      <c r="K28" s="437"/>
      <c r="L28" s="437"/>
      <c r="M28" s="437"/>
      <c r="N28" s="437"/>
      <c r="O28" s="437"/>
      <c r="P28" s="437"/>
      <c r="Q28" s="437"/>
      <c r="R28" s="437"/>
      <c r="S28" s="437"/>
      <c r="T28" s="437"/>
      <c r="U28" s="437"/>
      <c r="V28" s="437"/>
      <c r="W28" s="437"/>
      <c r="X28" s="437"/>
      <c r="Y28" s="437"/>
      <c r="Z28" s="437"/>
      <c r="AA28" s="437"/>
      <c r="AB28" s="437"/>
      <c r="AC28" s="437"/>
      <c r="AD28" s="437"/>
      <c r="AE28" s="437"/>
      <c r="AF28" s="437"/>
      <c r="AG28" s="437"/>
      <c r="AH28" s="437"/>
      <c r="AI28" s="437"/>
      <c r="AJ28" s="437"/>
      <c r="AK28" s="437"/>
      <c r="AL28" s="437"/>
      <c r="AM28" s="437"/>
      <c r="AN28" s="437"/>
      <c r="AO28" s="437"/>
      <c r="AP28" s="437"/>
      <c r="AQ28" s="437"/>
      <c r="AR28" s="437"/>
      <c r="AS28" s="437"/>
      <c r="AT28" s="437"/>
      <c r="AU28" s="437"/>
      <c r="AV28" s="437"/>
      <c r="AW28" s="437"/>
      <c r="AX28" s="437"/>
      <c r="AY28" s="437"/>
      <c r="AZ28" s="437"/>
      <c r="BA28" s="437"/>
      <c r="BB28" s="437"/>
      <c r="BC28" s="437"/>
      <c r="BD28" s="437"/>
      <c r="BE28" s="437"/>
      <c r="BF28" s="437"/>
      <c r="BG28" s="437"/>
      <c r="BH28" s="437"/>
      <c r="BI28" s="437"/>
      <c r="BJ28" s="437"/>
      <c r="BK28" s="437"/>
      <c r="BL28" s="437"/>
      <c r="BM28" s="437"/>
      <c r="BN28" s="437"/>
      <c r="BO28" s="437"/>
      <c r="BP28" s="437"/>
      <c r="BQ28" s="437"/>
      <c r="BR28" s="437"/>
      <c r="BS28" s="437"/>
      <c r="BT28" s="437"/>
      <c r="BU28" s="437"/>
      <c r="BV28" s="437"/>
      <c r="BW28" s="437"/>
      <c r="BX28" s="437"/>
      <c r="BY28" s="437"/>
      <c r="BZ28" s="437"/>
      <c r="CA28" s="437"/>
      <c r="CB28" s="437"/>
      <c r="CC28" s="437"/>
      <c r="CD28" s="437"/>
      <c r="CE28" s="437"/>
      <c r="CF28" s="437"/>
      <c r="CG28" s="437"/>
      <c r="CH28" s="437"/>
      <c r="CI28" s="437"/>
      <c r="CJ28" s="437"/>
      <c r="CK28" s="437"/>
      <c r="CL28" s="437"/>
      <c r="CM28" s="437"/>
      <c r="CN28" s="437"/>
      <c r="CO28" s="437"/>
      <c r="CP28" s="437"/>
      <c r="CQ28" s="437"/>
      <c r="CR28" s="437"/>
      <c r="CS28" s="437"/>
      <c r="CT28" s="437"/>
      <c r="CU28" s="437"/>
      <c r="CV28" s="437"/>
      <c r="CW28" s="437"/>
      <c r="CX28" s="437"/>
      <c r="CY28" s="437"/>
      <c r="CZ28" s="437"/>
      <c r="DA28" s="437"/>
    </row>
    <row r="29" spans="1:105" s="362" customFormat="1" x14ac:dyDescent="0.2">
      <c r="B29" s="12"/>
      <c r="C29" s="12"/>
      <c r="D29" s="13"/>
      <c r="E29" s="12"/>
      <c r="F29" s="12"/>
      <c r="G29" s="13"/>
      <c r="H29" s="12"/>
      <c r="I29" s="437"/>
      <c r="J29" s="437"/>
      <c r="K29" s="437"/>
      <c r="L29" s="437"/>
      <c r="M29" s="437"/>
      <c r="N29" s="437"/>
      <c r="O29" s="437"/>
      <c r="P29" s="437"/>
      <c r="Q29" s="437"/>
      <c r="R29" s="437"/>
      <c r="S29" s="437"/>
      <c r="T29" s="437"/>
      <c r="U29" s="437"/>
      <c r="V29" s="437"/>
      <c r="W29" s="437"/>
      <c r="X29" s="437"/>
      <c r="Y29" s="437"/>
      <c r="Z29" s="437"/>
      <c r="AA29" s="437"/>
      <c r="AB29" s="437"/>
      <c r="AC29" s="437"/>
      <c r="AD29" s="437"/>
      <c r="AE29" s="437"/>
      <c r="AF29" s="437"/>
      <c r="AG29" s="437"/>
      <c r="AH29" s="437"/>
      <c r="AI29" s="437"/>
      <c r="AJ29" s="437"/>
      <c r="AK29" s="437"/>
      <c r="AL29" s="437"/>
      <c r="AM29" s="437"/>
      <c r="AN29" s="437"/>
      <c r="AO29" s="437"/>
      <c r="AP29" s="437"/>
      <c r="AQ29" s="437"/>
      <c r="AR29" s="437"/>
      <c r="AS29" s="437"/>
      <c r="AT29" s="437"/>
      <c r="AU29" s="437"/>
      <c r="AV29" s="437"/>
      <c r="AW29" s="437"/>
      <c r="AX29" s="437"/>
      <c r="AY29" s="437"/>
      <c r="AZ29" s="437"/>
      <c r="BA29" s="437"/>
      <c r="BB29" s="437"/>
      <c r="BC29" s="437"/>
      <c r="BD29" s="437"/>
      <c r="BE29" s="437"/>
      <c r="BF29" s="437"/>
      <c r="BG29" s="437"/>
      <c r="BH29" s="437"/>
      <c r="BI29" s="437"/>
      <c r="BJ29" s="437"/>
      <c r="BK29" s="437"/>
      <c r="BL29" s="437"/>
      <c r="BM29" s="437"/>
      <c r="BN29" s="437"/>
      <c r="BO29" s="437"/>
      <c r="BP29" s="437"/>
      <c r="BQ29" s="437"/>
      <c r="BR29" s="437"/>
      <c r="BS29" s="437"/>
      <c r="BT29" s="437"/>
      <c r="BU29" s="437"/>
      <c r="BV29" s="437"/>
      <c r="BW29" s="437"/>
      <c r="BX29" s="437"/>
      <c r="BY29" s="437"/>
      <c r="BZ29" s="437"/>
      <c r="CA29" s="437"/>
      <c r="CB29" s="437"/>
      <c r="CC29" s="437"/>
      <c r="CD29" s="437"/>
      <c r="CE29" s="437"/>
      <c r="CF29" s="437"/>
      <c r="CG29" s="437"/>
      <c r="CH29" s="437"/>
      <c r="CI29" s="437"/>
      <c r="CJ29" s="437"/>
      <c r="CK29" s="437"/>
      <c r="CL29" s="437"/>
      <c r="CM29" s="437"/>
      <c r="CN29" s="437"/>
      <c r="CO29" s="437"/>
      <c r="CP29" s="437"/>
      <c r="CQ29" s="437"/>
      <c r="CR29" s="437"/>
      <c r="CS29" s="437"/>
      <c r="CT29" s="437"/>
      <c r="CU29" s="437"/>
      <c r="CV29" s="437"/>
      <c r="CW29" s="437"/>
      <c r="CX29" s="437"/>
      <c r="CY29" s="437"/>
      <c r="CZ29" s="437"/>
      <c r="DA29" s="437"/>
    </row>
    <row r="30" spans="1:105" s="362" customFormat="1" x14ac:dyDescent="0.2">
      <c r="B30" s="12"/>
      <c r="C30" s="12"/>
      <c r="D30" s="13"/>
      <c r="E30" s="12"/>
      <c r="F30" s="12"/>
      <c r="G30" s="13"/>
      <c r="H30" s="12"/>
      <c r="I30" s="437"/>
      <c r="J30" s="437"/>
      <c r="K30" s="437"/>
      <c r="L30" s="437"/>
      <c r="M30" s="437"/>
      <c r="N30" s="437"/>
      <c r="O30" s="437"/>
      <c r="P30" s="437"/>
      <c r="Q30" s="437"/>
      <c r="R30" s="437"/>
      <c r="S30" s="437"/>
      <c r="T30" s="437"/>
      <c r="U30" s="437"/>
      <c r="V30" s="437"/>
      <c r="W30" s="437"/>
      <c r="X30" s="437"/>
      <c r="Y30" s="437"/>
      <c r="Z30" s="437"/>
      <c r="AA30" s="437"/>
      <c r="AB30" s="437"/>
      <c r="AC30" s="437"/>
      <c r="AD30" s="437"/>
      <c r="AE30" s="437"/>
      <c r="AF30" s="437"/>
      <c r="AG30" s="437"/>
      <c r="AH30" s="437"/>
      <c r="AI30" s="437"/>
      <c r="AJ30" s="437"/>
      <c r="AK30" s="437"/>
      <c r="AL30" s="437"/>
      <c r="AM30" s="437"/>
      <c r="AN30" s="437"/>
      <c r="AO30" s="437"/>
      <c r="AP30" s="437"/>
      <c r="AQ30" s="437"/>
      <c r="AR30" s="437"/>
      <c r="AS30" s="437"/>
      <c r="AT30" s="437"/>
      <c r="AU30" s="437"/>
      <c r="AV30" s="437"/>
      <c r="AW30" s="437"/>
      <c r="AX30" s="437"/>
      <c r="AY30" s="437"/>
      <c r="AZ30" s="437"/>
      <c r="BA30" s="437"/>
      <c r="BB30" s="437"/>
      <c r="BC30" s="437"/>
      <c r="BD30" s="437"/>
      <c r="BE30" s="437"/>
      <c r="BF30" s="437"/>
      <c r="BG30" s="437"/>
      <c r="BH30" s="437"/>
      <c r="BI30" s="437"/>
      <c r="BJ30" s="437"/>
      <c r="BK30" s="437"/>
      <c r="BL30" s="437"/>
      <c r="BM30" s="437"/>
      <c r="BN30" s="437"/>
      <c r="BO30" s="437"/>
      <c r="BP30" s="437"/>
      <c r="BQ30" s="437"/>
      <c r="BR30" s="437"/>
      <c r="BS30" s="437"/>
      <c r="BT30" s="437"/>
      <c r="BU30" s="437"/>
      <c r="BV30" s="437"/>
      <c r="BW30" s="437"/>
      <c r="BX30" s="437"/>
      <c r="BY30" s="437"/>
      <c r="BZ30" s="437"/>
      <c r="CA30" s="437"/>
      <c r="CB30" s="437"/>
      <c r="CC30" s="437"/>
      <c r="CD30" s="437"/>
      <c r="CE30" s="437"/>
      <c r="CF30" s="437"/>
      <c r="CG30" s="437"/>
      <c r="CH30" s="437"/>
      <c r="CI30" s="437"/>
      <c r="CJ30" s="437"/>
      <c r="CK30" s="437"/>
      <c r="CL30" s="437"/>
      <c r="CM30" s="437"/>
      <c r="CN30" s="437"/>
      <c r="CO30" s="437"/>
      <c r="CP30" s="437"/>
      <c r="CQ30" s="437"/>
      <c r="CR30" s="437"/>
      <c r="CS30" s="437"/>
      <c r="CT30" s="437"/>
      <c r="CU30" s="437"/>
      <c r="CV30" s="437"/>
      <c r="CW30" s="437"/>
      <c r="CX30" s="437"/>
      <c r="CY30" s="437"/>
      <c r="CZ30" s="437"/>
      <c r="DA30" s="437"/>
    </row>
    <row r="31" spans="1:105" s="362" customFormat="1" x14ac:dyDescent="0.2">
      <c r="B31" s="12"/>
      <c r="C31" s="12"/>
      <c r="D31" s="13"/>
      <c r="E31" s="12"/>
      <c r="F31" s="12"/>
      <c r="G31" s="13"/>
      <c r="H31" s="12"/>
      <c r="I31" s="437"/>
      <c r="J31" s="437"/>
      <c r="K31" s="437"/>
      <c r="L31" s="437"/>
      <c r="M31" s="437"/>
      <c r="N31" s="437"/>
      <c r="O31" s="437"/>
      <c r="P31" s="437"/>
      <c r="Q31" s="437"/>
      <c r="R31" s="437"/>
      <c r="S31" s="437"/>
      <c r="T31" s="437"/>
      <c r="U31" s="437"/>
      <c r="V31" s="437"/>
      <c r="W31" s="437"/>
      <c r="X31" s="437"/>
      <c r="Y31" s="437"/>
      <c r="Z31" s="437"/>
      <c r="AA31" s="437"/>
      <c r="AB31" s="437"/>
      <c r="AC31" s="437"/>
      <c r="AD31" s="437"/>
      <c r="AE31" s="437"/>
      <c r="AF31" s="437"/>
      <c r="AG31" s="437"/>
      <c r="AH31" s="437"/>
      <c r="AI31" s="437"/>
      <c r="AJ31" s="437"/>
      <c r="AK31" s="437"/>
      <c r="AL31" s="437"/>
      <c r="AM31" s="437"/>
      <c r="AN31" s="437"/>
      <c r="AO31" s="437"/>
      <c r="AP31" s="437"/>
      <c r="AQ31" s="437"/>
      <c r="AR31" s="437"/>
      <c r="AS31" s="437"/>
      <c r="AT31" s="437"/>
      <c r="AU31" s="437"/>
      <c r="AV31" s="437"/>
      <c r="AW31" s="437"/>
      <c r="AX31" s="437"/>
      <c r="AY31" s="437"/>
      <c r="AZ31" s="437"/>
      <c r="BA31" s="437"/>
      <c r="BB31" s="437"/>
      <c r="BC31" s="437"/>
      <c r="BD31" s="437"/>
      <c r="BE31" s="437"/>
      <c r="BF31" s="437"/>
      <c r="BG31" s="437"/>
      <c r="BH31" s="437"/>
      <c r="BI31" s="437"/>
      <c r="BJ31" s="437"/>
      <c r="BK31" s="437"/>
      <c r="BL31" s="437"/>
      <c r="BM31" s="437"/>
      <c r="BN31" s="437"/>
      <c r="BO31" s="437"/>
      <c r="BP31" s="437"/>
      <c r="BQ31" s="437"/>
      <c r="BR31" s="437"/>
      <c r="BS31" s="437"/>
      <c r="BT31" s="437"/>
      <c r="BU31" s="437"/>
      <c r="BV31" s="437"/>
      <c r="BW31" s="437"/>
      <c r="BX31" s="437"/>
      <c r="BY31" s="437"/>
      <c r="BZ31" s="437"/>
      <c r="CA31" s="437"/>
      <c r="CB31" s="437"/>
      <c r="CC31" s="437"/>
      <c r="CD31" s="437"/>
      <c r="CE31" s="437"/>
      <c r="CF31" s="437"/>
      <c r="CG31" s="437"/>
      <c r="CH31" s="437"/>
      <c r="CI31" s="437"/>
      <c r="CJ31" s="437"/>
      <c r="CK31" s="437"/>
      <c r="CL31" s="437"/>
      <c r="CM31" s="437"/>
      <c r="CN31" s="437"/>
      <c r="CO31" s="437"/>
      <c r="CP31" s="437"/>
      <c r="CQ31" s="437"/>
      <c r="CR31" s="437"/>
      <c r="CS31" s="437"/>
      <c r="CT31" s="437"/>
      <c r="CU31" s="437"/>
      <c r="CV31" s="437"/>
      <c r="CW31" s="437"/>
      <c r="CX31" s="437"/>
      <c r="CY31" s="437"/>
      <c r="CZ31" s="437"/>
      <c r="DA31" s="437"/>
    </row>
    <row r="32" spans="1:105" s="362" customFormat="1" x14ac:dyDescent="0.2">
      <c r="B32" s="12"/>
      <c r="C32" s="12"/>
      <c r="D32" s="13"/>
      <c r="E32" s="12"/>
      <c r="F32" s="12"/>
      <c r="G32" s="13"/>
      <c r="H32" s="12"/>
      <c r="I32" s="437"/>
      <c r="J32" s="437"/>
      <c r="K32" s="437"/>
      <c r="L32" s="437"/>
      <c r="M32" s="437"/>
      <c r="N32" s="437"/>
      <c r="O32" s="437"/>
      <c r="P32" s="437"/>
      <c r="Q32" s="437"/>
      <c r="R32" s="437"/>
      <c r="S32" s="437"/>
      <c r="T32" s="437"/>
      <c r="U32" s="437"/>
      <c r="V32" s="437"/>
      <c r="W32" s="437"/>
      <c r="X32" s="437"/>
      <c r="Y32" s="437"/>
      <c r="Z32" s="437"/>
      <c r="AA32" s="437"/>
      <c r="AB32" s="437"/>
      <c r="AC32" s="437"/>
      <c r="AD32" s="437"/>
      <c r="AE32" s="437"/>
      <c r="AF32" s="437"/>
      <c r="AG32" s="437"/>
      <c r="AH32" s="437"/>
      <c r="AI32" s="437"/>
      <c r="AJ32" s="437"/>
      <c r="AK32" s="437"/>
      <c r="AL32" s="437"/>
      <c r="AM32" s="437"/>
      <c r="AN32" s="437"/>
      <c r="AO32" s="437"/>
      <c r="AP32" s="437"/>
      <c r="AQ32" s="437"/>
      <c r="AR32" s="437"/>
      <c r="AS32" s="437"/>
      <c r="AT32" s="437"/>
      <c r="AU32" s="437"/>
      <c r="AV32" s="437"/>
      <c r="AW32" s="437"/>
      <c r="AX32" s="437"/>
      <c r="AY32" s="437"/>
      <c r="AZ32" s="437"/>
      <c r="BA32" s="437"/>
      <c r="BB32" s="437"/>
      <c r="BC32" s="437"/>
      <c r="BD32" s="437"/>
      <c r="BE32" s="437"/>
      <c r="BF32" s="437"/>
      <c r="BG32" s="437"/>
      <c r="BH32" s="437"/>
      <c r="BI32" s="437"/>
      <c r="BJ32" s="437"/>
      <c r="BK32" s="437"/>
      <c r="BL32" s="437"/>
      <c r="BM32" s="437"/>
      <c r="BN32" s="437"/>
      <c r="BO32" s="437"/>
      <c r="BP32" s="437"/>
      <c r="BQ32" s="437"/>
      <c r="BR32" s="437"/>
      <c r="BS32" s="437"/>
      <c r="BT32" s="437"/>
      <c r="BU32" s="437"/>
      <c r="BV32" s="437"/>
      <c r="BW32" s="437"/>
      <c r="BX32" s="437"/>
      <c r="BY32" s="437"/>
      <c r="BZ32" s="437"/>
      <c r="CA32" s="437"/>
      <c r="CB32" s="437"/>
      <c r="CC32" s="437"/>
      <c r="CD32" s="437"/>
      <c r="CE32" s="437"/>
      <c r="CF32" s="437"/>
      <c r="CG32" s="437"/>
      <c r="CH32" s="437"/>
      <c r="CI32" s="437"/>
      <c r="CJ32" s="437"/>
      <c r="CK32" s="437"/>
      <c r="CL32" s="437"/>
      <c r="CM32" s="437"/>
      <c r="CN32" s="437"/>
      <c r="CO32" s="437"/>
      <c r="CP32" s="437"/>
      <c r="CQ32" s="437"/>
      <c r="CR32" s="437"/>
      <c r="CS32" s="437"/>
      <c r="CT32" s="437"/>
      <c r="CU32" s="437"/>
      <c r="CV32" s="437"/>
      <c r="CW32" s="437"/>
      <c r="CX32" s="437"/>
      <c r="CY32" s="437"/>
      <c r="CZ32" s="437"/>
      <c r="DA32" s="437"/>
    </row>
    <row r="33" spans="2:105" s="362" customFormat="1" x14ac:dyDescent="0.2">
      <c r="B33" s="12"/>
      <c r="C33" s="12"/>
      <c r="D33" s="13"/>
      <c r="E33" s="12"/>
      <c r="F33" s="12"/>
      <c r="G33" s="13"/>
      <c r="H33" s="12"/>
      <c r="I33" s="437"/>
      <c r="J33" s="437"/>
      <c r="K33" s="437"/>
      <c r="L33" s="437"/>
      <c r="M33" s="437"/>
      <c r="N33" s="437"/>
      <c r="O33" s="437"/>
      <c r="P33" s="437"/>
      <c r="Q33" s="437"/>
      <c r="R33" s="437"/>
      <c r="S33" s="437"/>
      <c r="T33" s="437"/>
      <c r="U33" s="437"/>
      <c r="V33" s="437"/>
      <c r="W33" s="437"/>
      <c r="X33" s="437"/>
      <c r="Y33" s="437"/>
      <c r="Z33" s="437"/>
      <c r="AA33" s="437"/>
      <c r="AB33" s="437"/>
      <c r="AC33" s="437"/>
      <c r="AD33" s="437"/>
      <c r="AE33" s="437"/>
      <c r="AF33" s="437"/>
      <c r="AG33" s="437"/>
      <c r="AH33" s="437"/>
      <c r="AI33" s="437"/>
      <c r="AJ33" s="437"/>
      <c r="AK33" s="437"/>
      <c r="AL33" s="437"/>
      <c r="AM33" s="437"/>
      <c r="AN33" s="437"/>
      <c r="AO33" s="437"/>
      <c r="AP33" s="437"/>
      <c r="AQ33" s="437"/>
      <c r="AR33" s="437"/>
      <c r="AS33" s="437"/>
      <c r="AT33" s="437"/>
      <c r="AU33" s="437"/>
      <c r="AV33" s="437"/>
      <c r="AW33" s="437"/>
      <c r="AX33" s="437"/>
      <c r="AY33" s="437"/>
      <c r="AZ33" s="437"/>
      <c r="BA33" s="437"/>
      <c r="BB33" s="437"/>
      <c r="BC33" s="437"/>
      <c r="BD33" s="437"/>
      <c r="BE33" s="437"/>
      <c r="BF33" s="437"/>
      <c r="BG33" s="437"/>
      <c r="BH33" s="437"/>
      <c r="BI33" s="437"/>
      <c r="BJ33" s="437"/>
      <c r="BK33" s="437"/>
      <c r="BL33" s="437"/>
      <c r="BM33" s="437"/>
      <c r="BN33" s="437"/>
      <c r="BO33" s="437"/>
      <c r="BP33" s="437"/>
      <c r="BQ33" s="437"/>
      <c r="BR33" s="437"/>
      <c r="BS33" s="437"/>
      <c r="BT33" s="437"/>
      <c r="BU33" s="437"/>
      <c r="BV33" s="437"/>
      <c r="BW33" s="437"/>
      <c r="BX33" s="437"/>
      <c r="BY33" s="437"/>
      <c r="BZ33" s="437"/>
      <c r="CA33" s="437"/>
      <c r="CB33" s="437"/>
      <c r="CC33" s="437"/>
      <c r="CD33" s="437"/>
      <c r="CE33" s="437"/>
      <c r="CF33" s="437"/>
      <c r="CG33" s="437"/>
      <c r="CH33" s="437"/>
      <c r="CI33" s="437"/>
      <c r="CJ33" s="437"/>
      <c r="CK33" s="437"/>
      <c r="CL33" s="437"/>
      <c r="CM33" s="437"/>
      <c r="CN33" s="437"/>
      <c r="CO33" s="437"/>
      <c r="CP33" s="437"/>
      <c r="CQ33" s="437"/>
      <c r="CR33" s="437"/>
      <c r="CS33" s="437"/>
      <c r="CT33" s="437"/>
      <c r="CU33" s="437"/>
      <c r="CV33" s="437"/>
      <c r="CW33" s="437"/>
      <c r="CX33" s="437"/>
      <c r="CY33" s="437"/>
      <c r="CZ33" s="437"/>
      <c r="DA33" s="437"/>
    </row>
    <row r="34" spans="2:105" s="362" customFormat="1" x14ac:dyDescent="0.2">
      <c r="B34" s="12"/>
      <c r="C34" s="12"/>
      <c r="D34" s="13"/>
      <c r="E34" s="12"/>
      <c r="F34" s="12"/>
      <c r="G34" s="13"/>
      <c r="H34" s="12"/>
      <c r="I34" s="437"/>
      <c r="J34" s="437"/>
      <c r="K34" s="437"/>
      <c r="L34" s="437"/>
      <c r="M34" s="437"/>
      <c r="N34" s="437"/>
      <c r="O34" s="437"/>
      <c r="P34" s="437"/>
      <c r="Q34" s="437"/>
      <c r="R34" s="437"/>
      <c r="S34" s="437"/>
      <c r="T34" s="437"/>
      <c r="U34" s="437"/>
      <c r="V34" s="437"/>
      <c r="W34" s="437"/>
      <c r="X34" s="437"/>
      <c r="Y34" s="437"/>
      <c r="Z34" s="437"/>
      <c r="AA34" s="437"/>
      <c r="AB34" s="437"/>
      <c r="AC34" s="437"/>
      <c r="AD34" s="437"/>
      <c r="AE34" s="437"/>
      <c r="AF34" s="437"/>
      <c r="AG34" s="437"/>
      <c r="AH34" s="437"/>
      <c r="AI34" s="437"/>
      <c r="AJ34" s="437"/>
      <c r="AK34" s="437"/>
      <c r="AL34" s="437"/>
      <c r="AM34" s="437"/>
      <c r="AN34" s="437"/>
      <c r="AO34" s="437"/>
      <c r="AP34" s="437"/>
      <c r="AQ34" s="437"/>
      <c r="AR34" s="437"/>
      <c r="AS34" s="437"/>
      <c r="AT34" s="437"/>
      <c r="AU34" s="437"/>
      <c r="AV34" s="437"/>
      <c r="AW34" s="437"/>
      <c r="AX34" s="437"/>
      <c r="AY34" s="437"/>
      <c r="AZ34" s="437"/>
      <c r="BA34" s="437"/>
      <c r="BB34" s="437"/>
      <c r="BC34" s="437"/>
      <c r="BD34" s="437"/>
      <c r="BE34" s="437"/>
      <c r="BF34" s="437"/>
      <c r="BG34" s="437"/>
      <c r="BH34" s="437"/>
      <c r="BI34" s="437"/>
      <c r="BJ34" s="437"/>
      <c r="BK34" s="437"/>
      <c r="BL34" s="437"/>
      <c r="BM34" s="437"/>
      <c r="BN34" s="437"/>
      <c r="BO34" s="437"/>
      <c r="BP34" s="437"/>
      <c r="BQ34" s="437"/>
      <c r="BR34" s="437"/>
      <c r="BS34" s="437"/>
      <c r="BT34" s="437"/>
      <c r="BU34" s="437"/>
      <c r="BV34" s="437"/>
      <c r="BW34" s="437"/>
      <c r="BX34" s="437"/>
      <c r="BY34" s="437"/>
      <c r="BZ34" s="437"/>
      <c r="CA34" s="437"/>
      <c r="CB34" s="437"/>
      <c r="CC34" s="437"/>
      <c r="CD34" s="437"/>
      <c r="CE34" s="437"/>
      <c r="CF34" s="437"/>
      <c r="CG34" s="437"/>
      <c r="CH34" s="437"/>
      <c r="CI34" s="437"/>
      <c r="CJ34" s="437"/>
      <c r="CK34" s="437"/>
      <c r="CL34" s="437"/>
      <c r="CM34" s="437"/>
      <c r="CN34" s="437"/>
      <c r="CO34" s="437"/>
      <c r="CP34" s="437"/>
      <c r="CQ34" s="437"/>
      <c r="CR34" s="437"/>
      <c r="CS34" s="437"/>
      <c r="CT34" s="437"/>
      <c r="CU34" s="437"/>
      <c r="CV34" s="437"/>
      <c r="CW34" s="437"/>
      <c r="CX34" s="437"/>
      <c r="CY34" s="437"/>
      <c r="CZ34" s="437"/>
      <c r="DA34" s="437"/>
    </row>
    <row r="35" spans="2:105" s="362" customFormat="1" x14ac:dyDescent="0.2">
      <c r="B35" s="12"/>
      <c r="C35" s="12"/>
      <c r="D35" s="13"/>
      <c r="E35" s="12"/>
      <c r="F35" s="12"/>
      <c r="G35" s="13"/>
      <c r="H35" s="12"/>
      <c r="I35" s="437"/>
      <c r="J35" s="437"/>
      <c r="K35" s="437"/>
      <c r="L35" s="437"/>
      <c r="M35" s="437"/>
      <c r="N35" s="437"/>
      <c r="O35" s="437"/>
      <c r="P35" s="437"/>
      <c r="Q35" s="437"/>
      <c r="R35" s="437"/>
      <c r="S35" s="437"/>
      <c r="T35" s="437"/>
      <c r="U35" s="437"/>
      <c r="V35" s="437"/>
      <c r="W35" s="437"/>
      <c r="X35" s="437"/>
      <c r="Y35" s="437"/>
      <c r="Z35" s="437"/>
      <c r="AA35" s="437"/>
      <c r="AB35" s="437"/>
      <c r="AC35" s="437"/>
      <c r="AD35" s="437"/>
      <c r="AE35" s="437"/>
      <c r="AF35" s="437"/>
      <c r="AG35" s="437"/>
      <c r="AH35" s="437"/>
      <c r="AI35" s="437"/>
      <c r="AJ35" s="437"/>
      <c r="AK35" s="437"/>
      <c r="AL35" s="437"/>
      <c r="AM35" s="437"/>
      <c r="AN35" s="437"/>
      <c r="AO35" s="437"/>
      <c r="AP35" s="437"/>
      <c r="AQ35" s="437"/>
      <c r="AR35" s="437"/>
      <c r="AS35" s="437"/>
      <c r="AT35" s="437"/>
      <c r="AU35" s="437"/>
      <c r="AV35" s="437"/>
      <c r="AW35" s="437"/>
      <c r="AX35" s="437"/>
      <c r="AY35" s="437"/>
      <c r="AZ35" s="437"/>
      <c r="BA35" s="437"/>
      <c r="BB35" s="437"/>
      <c r="BC35" s="437"/>
      <c r="BD35" s="437"/>
      <c r="BE35" s="437"/>
      <c r="BF35" s="437"/>
      <c r="BG35" s="437"/>
      <c r="BH35" s="437"/>
      <c r="BI35" s="437"/>
      <c r="BJ35" s="437"/>
      <c r="BK35" s="437"/>
      <c r="BL35" s="437"/>
      <c r="BM35" s="437"/>
      <c r="BN35" s="437"/>
      <c r="BO35" s="437"/>
      <c r="BP35" s="437"/>
      <c r="BQ35" s="437"/>
      <c r="BR35" s="437"/>
      <c r="BS35" s="437"/>
      <c r="BT35" s="437"/>
      <c r="BU35" s="437"/>
      <c r="BV35" s="437"/>
      <c r="BW35" s="437"/>
      <c r="BX35" s="437"/>
      <c r="BY35" s="437"/>
      <c r="BZ35" s="437"/>
      <c r="CA35" s="437"/>
      <c r="CB35" s="437"/>
      <c r="CC35" s="437"/>
      <c r="CD35" s="437"/>
      <c r="CE35" s="437"/>
      <c r="CF35" s="437"/>
      <c r="CG35" s="437"/>
      <c r="CH35" s="437"/>
      <c r="CI35" s="437"/>
      <c r="CJ35" s="437"/>
      <c r="CK35" s="437"/>
      <c r="CL35" s="437"/>
      <c r="CM35" s="437"/>
      <c r="CN35" s="437"/>
      <c r="CO35" s="437"/>
      <c r="CP35" s="437"/>
      <c r="CQ35" s="437"/>
      <c r="CR35" s="437"/>
      <c r="CS35" s="437"/>
      <c r="CT35" s="437"/>
      <c r="CU35" s="437"/>
      <c r="CV35" s="437"/>
      <c r="CW35" s="437"/>
      <c r="CX35" s="437"/>
      <c r="CY35" s="437"/>
      <c r="CZ35" s="437"/>
      <c r="DA35" s="437"/>
    </row>
    <row r="36" spans="2:105" s="362" customFormat="1" x14ac:dyDescent="0.2">
      <c r="B36" s="12"/>
      <c r="C36" s="12"/>
      <c r="D36" s="13"/>
      <c r="E36" s="12"/>
      <c r="F36" s="12"/>
      <c r="G36" s="13"/>
      <c r="H36" s="12"/>
      <c r="I36" s="437"/>
      <c r="J36" s="437"/>
      <c r="K36" s="437"/>
      <c r="L36" s="437"/>
      <c r="M36" s="437"/>
      <c r="N36" s="437"/>
      <c r="O36" s="437"/>
      <c r="P36" s="437"/>
      <c r="Q36" s="437"/>
      <c r="R36" s="437"/>
      <c r="S36" s="437"/>
      <c r="T36" s="437"/>
      <c r="U36" s="437"/>
      <c r="V36" s="437"/>
      <c r="W36" s="437"/>
      <c r="X36" s="437"/>
      <c r="Y36" s="437"/>
      <c r="Z36" s="437"/>
      <c r="AA36" s="437"/>
      <c r="AB36" s="437"/>
      <c r="AC36" s="437"/>
      <c r="AD36" s="437"/>
      <c r="AE36" s="437"/>
      <c r="AF36" s="437"/>
      <c r="AG36" s="437"/>
      <c r="AH36" s="437"/>
      <c r="AI36" s="437"/>
      <c r="AJ36" s="437"/>
      <c r="AK36" s="437"/>
      <c r="AL36" s="437"/>
      <c r="AM36" s="437"/>
      <c r="AN36" s="437"/>
      <c r="AO36" s="437"/>
      <c r="AP36" s="437"/>
      <c r="AQ36" s="437"/>
      <c r="AR36" s="437"/>
      <c r="AS36" s="437"/>
      <c r="AT36" s="437"/>
      <c r="AU36" s="437"/>
      <c r="AV36" s="437"/>
      <c r="AW36" s="437"/>
      <c r="AX36" s="437"/>
      <c r="AY36" s="437"/>
      <c r="AZ36" s="437"/>
      <c r="BA36" s="437"/>
      <c r="BB36" s="437"/>
      <c r="BC36" s="437"/>
      <c r="BD36" s="437"/>
      <c r="BE36" s="437"/>
      <c r="BF36" s="437"/>
      <c r="BG36" s="437"/>
      <c r="BH36" s="437"/>
      <c r="BI36" s="437"/>
      <c r="BJ36" s="437"/>
      <c r="BK36" s="437"/>
      <c r="BL36" s="437"/>
      <c r="BM36" s="437"/>
      <c r="BN36" s="437"/>
      <c r="BO36" s="437"/>
      <c r="BP36" s="437"/>
      <c r="BQ36" s="437"/>
      <c r="BR36" s="437"/>
      <c r="BS36" s="437"/>
      <c r="BT36" s="437"/>
      <c r="BU36" s="437"/>
      <c r="BV36" s="437"/>
      <c r="BW36" s="437"/>
      <c r="BX36" s="437"/>
      <c r="BY36" s="437"/>
      <c r="BZ36" s="437"/>
      <c r="CA36" s="437"/>
      <c r="CB36" s="437"/>
      <c r="CC36" s="437"/>
      <c r="CD36" s="437"/>
      <c r="CE36" s="437"/>
      <c r="CF36" s="437"/>
      <c r="CG36" s="437"/>
      <c r="CH36" s="437"/>
      <c r="CI36" s="437"/>
      <c r="CJ36" s="437"/>
      <c r="CK36" s="437"/>
      <c r="CL36" s="437"/>
      <c r="CM36" s="437"/>
      <c r="CN36" s="437"/>
      <c r="CO36" s="437"/>
      <c r="CP36" s="437"/>
      <c r="CQ36" s="437"/>
      <c r="CR36" s="437"/>
      <c r="CS36" s="437"/>
      <c r="CT36" s="437"/>
      <c r="CU36" s="437"/>
      <c r="CV36" s="437"/>
      <c r="CW36" s="437"/>
      <c r="CX36" s="437"/>
      <c r="CY36" s="437"/>
      <c r="CZ36" s="437"/>
      <c r="DA36" s="437"/>
    </row>
    <row r="37" spans="2:105" s="362" customFormat="1" x14ac:dyDescent="0.2">
      <c r="B37" s="12"/>
      <c r="C37" s="12"/>
      <c r="D37" s="13"/>
      <c r="E37" s="12"/>
      <c r="F37" s="12"/>
      <c r="G37" s="13"/>
      <c r="H37" s="12"/>
      <c r="I37" s="437"/>
      <c r="J37" s="437"/>
      <c r="K37" s="437"/>
      <c r="L37" s="437"/>
      <c r="M37" s="437"/>
      <c r="N37" s="437"/>
      <c r="O37" s="437"/>
      <c r="P37" s="437"/>
      <c r="Q37" s="437"/>
      <c r="R37" s="437"/>
      <c r="S37" s="437"/>
      <c r="T37" s="437"/>
      <c r="U37" s="437"/>
      <c r="V37" s="437"/>
      <c r="W37" s="437"/>
      <c r="X37" s="437"/>
      <c r="Y37" s="437"/>
      <c r="Z37" s="437"/>
      <c r="AA37" s="437"/>
      <c r="AB37" s="437"/>
      <c r="AC37" s="437"/>
      <c r="AD37" s="437"/>
      <c r="AE37" s="437"/>
      <c r="AF37" s="437"/>
      <c r="AG37" s="437"/>
      <c r="AH37" s="437"/>
      <c r="AI37" s="437"/>
      <c r="AJ37" s="437"/>
      <c r="AK37" s="437"/>
      <c r="AL37" s="437"/>
      <c r="AM37" s="437"/>
      <c r="AN37" s="437"/>
      <c r="AO37" s="437"/>
      <c r="AP37" s="437"/>
      <c r="AQ37" s="437"/>
      <c r="AR37" s="437"/>
      <c r="AS37" s="437"/>
      <c r="AT37" s="437"/>
      <c r="AU37" s="437"/>
      <c r="AV37" s="437"/>
      <c r="AW37" s="437"/>
      <c r="AX37" s="437"/>
      <c r="AY37" s="437"/>
      <c r="AZ37" s="437"/>
      <c r="BA37" s="437"/>
      <c r="BB37" s="437"/>
      <c r="BC37" s="437"/>
      <c r="BD37" s="437"/>
      <c r="BE37" s="437"/>
      <c r="BF37" s="437"/>
      <c r="BG37" s="437"/>
      <c r="BH37" s="437"/>
      <c r="BI37" s="437"/>
      <c r="BJ37" s="437"/>
      <c r="BK37" s="437"/>
      <c r="BL37" s="437"/>
      <c r="BM37" s="437"/>
      <c r="BN37" s="437"/>
      <c r="BO37" s="437"/>
      <c r="BP37" s="437"/>
      <c r="BQ37" s="437"/>
      <c r="BR37" s="437"/>
      <c r="BS37" s="437"/>
      <c r="BT37" s="437"/>
      <c r="BU37" s="437"/>
      <c r="BV37" s="437"/>
      <c r="BW37" s="437"/>
      <c r="BX37" s="437"/>
      <c r="BY37" s="437"/>
      <c r="BZ37" s="437"/>
      <c r="CA37" s="437"/>
      <c r="CB37" s="437"/>
      <c r="CC37" s="437"/>
      <c r="CD37" s="437"/>
      <c r="CE37" s="437"/>
      <c r="CF37" s="437"/>
      <c r="CG37" s="437"/>
      <c r="CH37" s="437"/>
      <c r="CI37" s="437"/>
      <c r="CJ37" s="437"/>
      <c r="CK37" s="437"/>
      <c r="CL37" s="437"/>
      <c r="CM37" s="437"/>
      <c r="CN37" s="437"/>
      <c r="CO37" s="437"/>
      <c r="CP37" s="437"/>
      <c r="CQ37" s="437"/>
      <c r="CR37" s="437"/>
      <c r="CS37" s="437"/>
      <c r="CT37" s="437"/>
      <c r="CU37" s="437"/>
      <c r="CV37" s="437"/>
      <c r="CW37" s="437"/>
      <c r="CX37" s="437"/>
      <c r="CY37" s="437"/>
      <c r="CZ37" s="437"/>
      <c r="DA37" s="437"/>
    </row>
    <row r="38" spans="2:105" s="362" customFormat="1" x14ac:dyDescent="0.2">
      <c r="B38" s="12"/>
      <c r="C38" s="12"/>
      <c r="D38" s="13"/>
      <c r="E38" s="12"/>
      <c r="F38" s="12"/>
      <c r="G38" s="13"/>
      <c r="H38" s="12"/>
      <c r="I38" s="437"/>
      <c r="J38" s="437"/>
      <c r="K38" s="437"/>
      <c r="L38" s="437"/>
      <c r="M38" s="437"/>
      <c r="N38" s="437"/>
      <c r="O38" s="437"/>
      <c r="P38" s="437"/>
      <c r="Q38" s="437"/>
      <c r="R38" s="437"/>
      <c r="S38" s="437"/>
      <c r="T38" s="437"/>
      <c r="U38" s="437"/>
      <c r="V38" s="437"/>
      <c r="W38" s="437"/>
      <c r="X38" s="437"/>
      <c r="Y38" s="437"/>
      <c r="Z38" s="437"/>
      <c r="AA38" s="437"/>
      <c r="AB38" s="437"/>
      <c r="AC38" s="437"/>
      <c r="AD38" s="437"/>
      <c r="AE38" s="437"/>
      <c r="AF38" s="437"/>
      <c r="AG38" s="437"/>
      <c r="AH38" s="437"/>
      <c r="AI38" s="437"/>
      <c r="AJ38" s="437"/>
      <c r="AK38" s="437"/>
      <c r="AL38" s="437"/>
      <c r="AM38" s="437"/>
      <c r="AN38" s="437"/>
      <c r="AO38" s="437"/>
      <c r="AP38" s="437"/>
      <c r="AQ38" s="437"/>
      <c r="AR38" s="437"/>
      <c r="AS38" s="437"/>
      <c r="AT38" s="437"/>
      <c r="AU38" s="437"/>
      <c r="AV38" s="437"/>
      <c r="AW38" s="437"/>
      <c r="AX38" s="437"/>
      <c r="AY38" s="437"/>
      <c r="AZ38" s="437"/>
      <c r="BA38" s="437"/>
      <c r="BB38" s="437"/>
      <c r="BC38" s="437"/>
      <c r="BD38" s="437"/>
      <c r="BE38" s="437"/>
      <c r="BF38" s="437"/>
      <c r="BG38" s="437"/>
      <c r="BH38" s="437"/>
      <c r="BI38" s="437"/>
      <c r="BJ38" s="437"/>
      <c r="BK38" s="437"/>
      <c r="BL38" s="437"/>
      <c r="BM38" s="437"/>
      <c r="BN38" s="437"/>
      <c r="BO38" s="437"/>
      <c r="BP38" s="437"/>
      <c r="BQ38" s="437"/>
      <c r="BR38" s="437"/>
      <c r="BS38" s="437"/>
      <c r="BT38" s="437"/>
      <c r="BU38" s="437"/>
      <c r="BV38" s="437"/>
      <c r="BW38" s="437"/>
      <c r="BX38" s="437"/>
      <c r="BY38" s="437"/>
      <c r="BZ38" s="437"/>
      <c r="CA38" s="437"/>
      <c r="CB38" s="437"/>
      <c r="CC38" s="437"/>
      <c r="CD38" s="437"/>
      <c r="CE38" s="437"/>
      <c r="CF38" s="437"/>
      <c r="CG38" s="437"/>
      <c r="CH38" s="437"/>
      <c r="CI38" s="437"/>
      <c r="CJ38" s="437"/>
      <c r="CK38" s="437"/>
      <c r="CL38" s="437"/>
      <c r="CM38" s="437"/>
      <c r="CN38" s="437"/>
      <c r="CO38" s="437"/>
      <c r="CP38" s="437"/>
      <c r="CQ38" s="437"/>
      <c r="CR38" s="437"/>
      <c r="CS38" s="437"/>
      <c r="CT38" s="437"/>
      <c r="CU38" s="437"/>
      <c r="CV38" s="437"/>
      <c r="CW38" s="437"/>
      <c r="CX38" s="437"/>
      <c r="CY38" s="437"/>
      <c r="CZ38" s="437"/>
      <c r="DA38" s="437"/>
    </row>
    <row r="39" spans="2:105" s="362" customFormat="1" x14ac:dyDescent="0.2">
      <c r="B39" s="12"/>
      <c r="C39" s="12"/>
      <c r="D39" s="13"/>
      <c r="E39" s="12"/>
      <c r="F39" s="12"/>
      <c r="G39" s="13"/>
      <c r="H39" s="12"/>
      <c r="I39" s="437"/>
      <c r="J39" s="437"/>
      <c r="K39" s="437"/>
      <c r="L39" s="437"/>
      <c r="M39" s="437"/>
      <c r="N39" s="437"/>
      <c r="O39" s="437"/>
      <c r="P39" s="437"/>
      <c r="Q39" s="437"/>
      <c r="R39" s="437"/>
      <c r="S39" s="437"/>
      <c r="T39" s="437"/>
      <c r="U39" s="437"/>
      <c r="V39" s="437"/>
      <c r="W39" s="437"/>
      <c r="X39" s="437"/>
      <c r="Y39" s="437"/>
      <c r="Z39" s="437"/>
      <c r="AA39" s="437"/>
      <c r="AB39" s="437"/>
      <c r="AC39" s="437"/>
      <c r="AD39" s="437"/>
      <c r="AE39" s="437"/>
      <c r="AF39" s="437"/>
      <c r="AG39" s="437"/>
      <c r="AH39" s="437"/>
      <c r="AI39" s="437"/>
      <c r="AJ39" s="437"/>
      <c r="AK39" s="437"/>
      <c r="AL39" s="437"/>
      <c r="AM39" s="437"/>
      <c r="AN39" s="437"/>
      <c r="AO39" s="437"/>
      <c r="AP39" s="437"/>
      <c r="AQ39" s="437"/>
      <c r="AR39" s="437"/>
      <c r="AS39" s="437"/>
      <c r="AT39" s="437"/>
      <c r="AU39" s="437"/>
      <c r="AV39" s="437"/>
      <c r="AW39" s="437"/>
      <c r="AX39" s="437"/>
      <c r="AY39" s="437"/>
      <c r="AZ39" s="437"/>
      <c r="BA39" s="437"/>
      <c r="BB39" s="437"/>
      <c r="BC39" s="437"/>
      <c r="BD39" s="437"/>
      <c r="BE39" s="437"/>
      <c r="BF39" s="437"/>
      <c r="BG39" s="437"/>
      <c r="BH39" s="437"/>
      <c r="BI39" s="437"/>
      <c r="BJ39" s="437"/>
      <c r="BK39" s="437"/>
      <c r="BL39" s="437"/>
      <c r="BM39" s="437"/>
      <c r="BN39" s="437"/>
      <c r="BO39" s="437"/>
      <c r="BP39" s="437"/>
      <c r="BQ39" s="437"/>
      <c r="BR39" s="437"/>
      <c r="BS39" s="437"/>
      <c r="BT39" s="437"/>
      <c r="BU39" s="437"/>
      <c r="BV39" s="437"/>
      <c r="BW39" s="437"/>
      <c r="BX39" s="437"/>
      <c r="BY39" s="437"/>
      <c r="BZ39" s="437"/>
      <c r="CA39" s="437"/>
      <c r="CB39" s="437"/>
      <c r="CC39" s="437"/>
      <c r="CD39" s="437"/>
      <c r="CE39" s="437"/>
      <c r="CF39" s="437"/>
      <c r="CG39" s="437"/>
      <c r="CH39" s="437"/>
      <c r="CI39" s="437"/>
      <c r="CJ39" s="437"/>
      <c r="CK39" s="437"/>
      <c r="CL39" s="437"/>
      <c r="CM39" s="437"/>
      <c r="CN39" s="437"/>
      <c r="CO39" s="437"/>
      <c r="CP39" s="437"/>
      <c r="CQ39" s="437"/>
      <c r="CR39" s="437"/>
      <c r="CS39" s="437"/>
      <c r="CT39" s="437"/>
      <c r="CU39" s="437"/>
      <c r="CV39" s="437"/>
      <c r="CW39" s="437"/>
      <c r="CX39" s="437"/>
      <c r="CY39" s="437"/>
      <c r="CZ39" s="437"/>
      <c r="DA39" s="437"/>
    </row>
    <row r="40" spans="2:105" s="362" customFormat="1" x14ac:dyDescent="0.2">
      <c r="B40" s="12"/>
      <c r="C40" s="12"/>
      <c r="D40" s="13"/>
      <c r="E40" s="12"/>
      <c r="F40" s="12"/>
      <c r="G40" s="13"/>
      <c r="H40" s="12"/>
      <c r="I40" s="437"/>
      <c r="J40" s="437"/>
      <c r="K40" s="437"/>
      <c r="L40" s="437"/>
      <c r="M40" s="437"/>
      <c r="N40" s="437"/>
      <c r="O40" s="437"/>
      <c r="P40" s="437"/>
      <c r="Q40" s="437"/>
      <c r="R40" s="437"/>
      <c r="S40" s="437"/>
      <c r="T40" s="437"/>
      <c r="U40" s="437"/>
      <c r="V40" s="437"/>
      <c r="W40" s="437"/>
      <c r="X40" s="437"/>
      <c r="Y40" s="437"/>
      <c r="Z40" s="437"/>
      <c r="AA40" s="437"/>
      <c r="AB40" s="437"/>
      <c r="AC40" s="437"/>
      <c r="AD40" s="437"/>
      <c r="AE40" s="437"/>
      <c r="AF40" s="437"/>
      <c r="AG40" s="437"/>
      <c r="AH40" s="437"/>
      <c r="AI40" s="437"/>
      <c r="AJ40" s="437"/>
      <c r="AK40" s="437"/>
      <c r="AL40" s="437"/>
      <c r="AM40" s="437"/>
      <c r="AN40" s="437"/>
      <c r="AO40" s="437"/>
      <c r="AP40" s="437"/>
      <c r="AQ40" s="437"/>
      <c r="AR40" s="437"/>
      <c r="AS40" s="437"/>
      <c r="AT40" s="437"/>
      <c r="AU40" s="437"/>
      <c r="AV40" s="437"/>
      <c r="AW40" s="437"/>
      <c r="AX40" s="437"/>
      <c r="AY40" s="437"/>
      <c r="AZ40" s="437"/>
      <c r="BA40" s="437"/>
      <c r="BB40" s="437"/>
      <c r="BC40" s="437"/>
      <c r="BD40" s="437"/>
      <c r="BE40" s="437"/>
      <c r="BF40" s="437"/>
      <c r="BG40" s="437"/>
      <c r="BH40" s="437"/>
      <c r="BI40" s="437"/>
      <c r="BJ40" s="437"/>
      <c r="BK40" s="437"/>
      <c r="BL40" s="437"/>
      <c r="BM40" s="437"/>
      <c r="BN40" s="437"/>
      <c r="BO40" s="437"/>
      <c r="BP40" s="437"/>
      <c r="BQ40" s="437"/>
      <c r="BR40" s="437"/>
      <c r="BS40" s="437"/>
      <c r="BT40" s="437"/>
      <c r="BU40" s="437"/>
      <c r="BV40" s="437"/>
      <c r="BW40" s="437"/>
      <c r="BX40" s="437"/>
      <c r="BY40" s="437"/>
      <c r="BZ40" s="437"/>
      <c r="CA40" s="437"/>
      <c r="CB40" s="437"/>
      <c r="CC40" s="437"/>
      <c r="CD40" s="437"/>
      <c r="CE40" s="437"/>
      <c r="CF40" s="437"/>
      <c r="CG40" s="437"/>
      <c r="CH40" s="437"/>
      <c r="CI40" s="437"/>
      <c r="CJ40" s="437"/>
      <c r="CK40" s="437"/>
      <c r="CL40" s="437"/>
      <c r="CM40" s="437"/>
      <c r="CN40" s="437"/>
      <c r="CO40" s="437"/>
      <c r="CP40" s="437"/>
      <c r="CQ40" s="437"/>
      <c r="CR40" s="437"/>
      <c r="CS40" s="437"/>
      <c r="CT40" s="437"/>
      <c r="CU40" s="437"/>
      <c r="CV40" s="437"/>
      <c r="CW40" s="437"/>
      <c r="CX40" s="437"/>
      <c r="CY40" s="437"/>
      <c r="CZ40" s="437"/>
      <c r="DA40" s="437"/>
    </row>
    <row r="41" spans="2:105" s="362" customFormat="1" x14ac:dyDescent="0.2">
      <c r="B41" s="12"/>
      <c r="C41" s="12"/>
      <c r="D41" s="13"/>
      <c r="E41" s="12"/>
      <c r="F41" s="12"/>
      <c r="G41" s="13"/>
      <c r="H41" s="12"/>
      <c r="I41" s="437"/>
      <c r="J41" s="437"/>
      <c r="K41" s="437"/>
      <c r="L41" s="437"/>
      <c r="M41" s="437"/>
      <c r="N41" s="437"/>
      <c r="O41" s="437"/>
      <c r="P41" s="437"/>
      <c r="Q41" s="437"/>
      <c r="R41" s="437"/>
      <c r="S41" s="437"/>
      <c r="T41" s="437"/>
      <c r="U41" s="437"/>
      <c r="V41" s="437"/>
      <c r="W41" s="437"/>
      <c r="X41" s="437"/>
      <c r="Y41" s="437"/>
      <c r="Z41" s="437"/>
      <c r="AA41" s="437"/>
      <c r="AB41" s="437"/>
      <c r="AC41" s="437"/>
      <c r="AD41" s="437"/>
      <c r="AE41" s="437"/>
      <c r="AF41" s="437"/>
      <c r="AG41" s="437"/>
      <c r="AH41" s="437"/>
      <c r="AI41" s="437"/>
      <c r="AJ41" s="437"/>
      <c r="AK41" s="437"/>
      <c r="AL41" s="437"/>
      <c r="AM41" s="437"/>
      <c r="AN41" s="437"/>
      <c r="AO41" s="437"/>
      <c r="AP41" s="437"/>
      <c r="AQ41" s="437"/>
      <c r="AR41" s="437"/>
      <c r="AS41" s="437"/>
      <c r="AT41" s="437"/>
      <c r="AU41" s="437"/>
      <c r="AV41" s="437"/>
      <c r="AW41" s="437"/>
      <c r="AX41" s="437"/>
      <c r="AY41" s="437"/>
      <c r="AZ41" s="437"/>
      <c r="BA41" s="437"/>
      <c r="BB41" s="437"/>
      <c r="BC41" s="437"/>
      <c r="BD41" s="437"/>
      <c r="BE41" s="437"/>
      <c r="BF41" s="437"/>
      <c r="BG41" s="437"/>
      <c r="BH41" s="437"/>
      <c r="BI41" s="437"/>
      <c r="BJ41" s="437"/>
      <c r="BK41" s="437"/>
      <c r="BL41" s="437"/>
      <c r="BM41" s="437"/>
      <c r="BN41" s="437"/>
      <c r="BO41" s="437"/>
      <c r="BP41" s="437"/>
      <c r="BQ41" s="437"/>
      <c r="BR41" s="437"/>
      <c r="BS41" s="437"/>
      <c r="BT41" s="437"/>
      <c r="BU41" s="437"/>
      <c r="BV41" s="437"/>
      <c r="BW41" s="437"/>
      <c r="BX41" s="437"/>
      <c r="BY41" s="437"/>
      <c r="BZ41" s="437"/>
      <c r="CA41" s="437"/>
      <c r="CB41" s="437"/>
      <c r="CC41" s="437"/>
      <c r="CD41" s="437"/>
      <c r="CE41" s="437"/>
      <c r="CF41" s="437"/>
      <c r="CG41" s="437"/>
      <c r="CH41" s="437"/>
      <c r="CI41" s="437"/>
      <c r="CJ41" s="437"/>
      <c r="CK41" s="437"/>
      <c r="CL41" s="437"/>
      <c r="CM41" s="437"/>
      <c r="CN41" s="437"/>
      <c r="CO41" s="437"/>
      <c r="CP41" s="437"/>
      <c r="CQ41" s="437"/>
      <c r="CR41" s="437"/>
      <c r="CS41" s="437"/>
      <c r="CT41" s="437"/>
      <c r="CU41" s="437"/>
      <c r="CV41" s="437"/>
      <c r="CW41" s="437"/>
      <c r="CX41" s="437"/>
      <c r="CY41" s="437"/>
      <c r="CZ41" s="437"/>
      <c r="DA41" s="437"/>
    </row>
    <row r="42" spans="2:105" s="362" customFormat="1" x14ac:dyDescent="0.2">
      <c r="B42" s="12"/>
      <c r="C42" s="12"/>
      <c r="D42" s="13"/>
      <c r="E42" s="12"/>
      <c r="F42" s="12"/>
      <c r="G42" s="13"/>
      <c r="H42" s="12"/>
      <c r="I42" s="437"/>
      <c r="J42" s="437"/>
      <c r="K42" s="437"/>
      <c r="L42" s="437"/>
      <c r="M42" s="437"/>
      <c r="N42" s="437"/>
      <c r="O42" s="437"/>
      <c r="P42" s="437"/>
      <c r="Q42" s="437"/>
      <c r="R42" s="437"/>
      <c r="S42" s="437"/>
      <c r="T42" s="437"/>
      <c r="U42" s="437"/>
      <c r="V42" s="437"/>
      <c r="W42" s="437"/>
      <c r="X42" s="437"/>
      <c r="Y42" s="437"/>
      <c r="Z42" s="437"/>
      <c r="AA42" s="437"/>
      <c r="AB42" s="437"/>
      <c r="AC42" s="437"/>
      <c r="AD42" s="437"/>
      <c r="AE42" s="437"/>
      <c r="AF42" s="437"/>
      <c r="AG42" s="437"/>
      <c r="AH42" s="437"/>
      <c r="AI42" s="437"/>
      <c r="AJ42" s="437"/>
      <c r="AK42" s="437"/>
      <c r="AL42" s="437"/>
      <c r="AM42" s="437"/>
      <c r="AN42" s="437"/>
      <c r="AO42" s="437"/>
      <c r="AP42" s="437"/>
      <c r="AQ42" s="437"/>
      <c r="AR42" s="437"/>
      <c r="AS42" s="437"/>
      <c r="AT42" s="437"/>
      <c r="AU42" s="437"/>
      <c r="AV42" s="437"/>
      <c r="AW42" s="437"/>
      <c r="AX42" s="437"/>
      <c r="AY42" s="437"/>
      <c r="AZ42" s="437"/>
      <c r="BA42" s="437"/>
      <c r="BB42" s="437"/>
      <c r="BC42" s="437"/>
      <c r="BD42" s="437"/>
      <c r="BE42" s="437"/>
      <c r="BF42" s="437"/>
      <c r="BG42" s="437"/>
      <c r="BH42" s="437"/>
      <c r="BI42" s="437"/>
      <c r="BJ42" s="437"/>
      <c r="BK42" s="437"/>
      <c r="BL42" s="437"/>
      <c r="BM42" s="437"/>
      <c r="BN42" s="437"/>
      <c r="BO42" s="437"/>
      <c r="BP42" s="437"/>
      <c r="BQ42" s="437"/>
      <c r="BR42" s="437"/>
      <c r="BS42" s="437"/>
      <c r="BT42" s="437"/>
      <c r="BU42" s="437"/>
      <c r="BV42" s="437"/>
      <c r="BW42" s="437"/>
      <c r="BX42" s="437"/>
      <c r="BY42" s="437"/>
      <c r="BZ42" s="437"/>
      <c r="CA42" s="437"/>
      <c r="CB42" s="437"/>
      <c r="CC42" s="437"/>
      <c r="CD42" s="437"/>
      <c r="CE42" s="437"/>
      <c r="CF42" s="437"/>
      <c r="CG42" s="437"/>
      <c r="CH42" s="437"/>
      <c r="CI42" s="437"/>
      <c r="CJ42" s="437"/>
      <c r="CK42" s="437"/>
      <c r="CL42" s="437"/>
      <c r="CM42" s="437"/>
      <c r="CN42" s="437"/>
      <c r="CO42" s="437"/>
      <c r="CP42" s="437"/>
      <c r="CQ42" s="437"/>
      <c r="CR42" s="437"/>
      <c r="CS42" s="437"/>
      <c r="CT42" s="437"/>
      <c r="CU42" s="437"/>
      <c r="CV42" s="437"/>
      <c r="CW42" s="437"/>
      <c r="CX42" s="437"/>
      <c r="CY42" s="437"/>
      <c r="CZ42" s="437"/>
      <c r="DA42" s="437"/>
    </row>
    <row r="43" spans="2:105" s="362" customFormat="1" x14ac:dyDescent="0.2">
      <c r="B43" s="12"/>
      <c r="C43" s="12"/>
      <c r="D43" s="13"/>
      <c r="E43" s="12"/>
      <c r="F43" s="12"/>
      <c r="G43" s="13"/>
      <c r="H43" s="12"/>
      <c r="I43" s="437"/>
      <c r="J43" s="437"/>
      <c r="K43" s="437"/>
      <c r="L43" s="437"/>
      <c r="M43" s="437"/>
      <c r="N43" s="437"/>
      <c r="O43" s="437"/>
      <c r="P43" s="437"/>
      <c r="Q43" s="437"/>
      <c r="R43" s="437"/>
      <c r="S43" s="437"/>
      <c r="T43" s="437"/>
      <c r="U43" s="437"/>
      <c r="V43" s="437"/>
      <c r="W43" s="437"/>
      <c r="X43" s="437"/>
      <c r="Y43" s="437"/>
      <c r="Z43" s="437"/>
      <c r="AA43" s="437"/>
      <c r="AB43" s="437"/>
      <c r="AC43" s="437"/>
      <c r="AD43" s="437"/>
      <c r="AE43" s="437"/>
      <c r="AF43" s="437"/>
      <c r="AG43" s="437"/>
      <c r="AH43" s="437"/>
      <c r="AI43" s="437"/>
      <c r="AJ43" s="437"/>
      <c r="AK43" s="437"/>
      <c r="AL43" s="437"/>
      <c r="AM43" s="437"/>
      <c r="AN43" s="437"/>
      <c r="AO43" s="437"/>
      <c r="AP43" s="437"/>
      <c r="AQ43" s="437"/>
      <c r="AR43" s="437"/>
      <c r="AS43" s="437"/>
      <c r="AT43" s="437"/>
      <c r="AU43" s="437"/>
      <c r="AV43" s="437"/>
      <c r="AW43" s="437"/>
      <c r="AX43" s="437"/>
      <c r="AY43" s="437"/>
      <c r="AZ43" s="437"/>
      <c r="BA43" s="437"/>
      <c r="BB43" s="437"/>
      <c r="BC43" s="437"/>
      <c r="BD43" s="437"/>
      <c r="BE43" s="437"/>
      <c r="BF43" s="437"/>
      <c r="BG43" s="437"/>
      <c r="BH43" s="437"/>
      <c r="BI43" s="437"/>
      <c r="BJ43" s="437"/>
      <c r="BK43" s="437"/>
      <c r="BL43" s="437"/>
      <c r="BM43" s="437"/>
      <c r="BN43" s="437"/>
      <c r="BO43" s="437"/>
      <c r="BP43" s="437"/>
      <c r="BQ43" s="437"/>
      <c r="BR43" s="437"/>
      <c r="BS43" s="437"/>
      <c r="BT43" s="437"/>
      <c r="BU43" s="437"/>
      <c r="BV43" s="437"/>
      <c r="BW43" s="437"/>
      <c r="BX43" s="437"/>
      <c r="BY43" s="437"/>
      <c r="BZ43" s="437"/>
      <c r="CA43" s="437"/>
      <c r="CB43" s="437"/>
      <c r="CC43" s="437"/>
      <c r="CD43" s="437"/>
      <c r="CE43" s="437"/>
      <c r="CF43" s="437"/>
      <c r="CG43" s="437"/>
      <c r="CH43" s="437"/>
      <c r="CI43" s="437"/>
      <c r="CJ43" s="437"/>
      <c r="CK43" s="437"/>
      <c r="CL43" s="437"/>
      <c r="CM43" s="437"/>
      <c r="CN43" s="437"/>
      <c r="CO43" s="437"/>
      <c r="CP43" s="437"/>
      <c r="CQ43" s="437"/>
      <c r="CR43" s="437"/>
      <c r="CS43" s="437"/>
      <c r="CT43" s="437"/>
      <c r="CU43" s="437"/>
      <c r="CV43" s="437"/>
      <c r="CW43" s="437"/>
      <c r="CX43" s="437"/>
      <c r="CY43" s="437"/>
      <c r="CZ43" s="437"/>
      <c r="DA43" s="437"/>
    </row>
    <row r="44" spans="2:105" s="362" customFormat="1" x14ac:dyDescent="0.2">
      <c r="B44" s="12"/>
      <c r="C44" s="12"/>
      <c r="D44" s="13"/>
      <c r="E44" s="12"/>
      <c r="F44" s="12"/>
      <c r="G44" s="13"/>
      <c r="H44" s="12"/>
      <c r="I44" s="437"/>
      <c r="J44" s="437"/>
      <c r="K44" s="437"/>
      <c r="L44" s="437"/>
      <c r="M44" s="437"/>
      <c r="N44" s="437"/>
      <c r="O44" s="437"/>
      <c r="P44" s="437"/>
      <c r="Q44" s="437"/>
      <c r="R44" s="437"/>
      <c r="S44" s="437"/>
      <c r="T44" s="437"/>
      <c r="U44" s="437"/>
      <c r="V44" s="437"/>
      <c r="W44" s="437"/>
      <c r="X44" s="437"/>
      <c r="Y44" s="437"/>
      <c r="Z44" s="437"/>
      <c r="AA44" s="437"/>
      <c r="AB44" s="437"/>
      <c r="AC44" s="437"/>
      <c r="AD44" s="437"/>
      <c r="AE44" s="437"/>
      <c r="AF44" s="437"/>
      <c r="AG44" s="437"/>
      <c r="AH44" s="437"/>
      <c r="AI44" s="437"/>
      <c r="AJ44" s="437"/>
      <c r="AK44" s="437"/>
      <c r="AL44" s="437"/>
      <c r="AM44" s="437"/>
      <c r="AN44" s="437"/>
      <c r="AO44" s="437"/>
      <c r="AP44" s="437"/>
      <c r="AQ44" s="437"/>
      <c r="AR44" s="437"/>
      <c r="AS44" s="437"/>
      <c r="AT44" s="437"/>
      <c r="AU44" s="437"/>
      <c r="AV44" s="437"/>
      <c r="AW44" s="437"/>
      <c r="AX44" s="437"/>
      <c r="AY44" s="437"/>
      <c r="AZ44" s="437"/>
      <c r="BA44" s="437"/>
      <c r="BB44" s="437"/>
      <c r="BC44" s="437"/>
      <c r="BD44" s="437"/>
      <c r="BE44" s="437"/>
      <c r="BF44" s="437"/>
      <c r="BG44" s="437"/>
      <c r="BH44" s="437"/>
      <c r="BI44" s="437"/>
      <c r="BJ44" s="437"/>
      <c r="BK44" s="437"/>
      <c r="BL44" s="437"/>
      <c r="BM44" s="437"/>
      <c r="BN44" s="437"/>
      <c r="BO44" s="437"/>
      <c r="BP44" s="437"/>
      <c r="BQ44" s="437"/>
      <c r="BR44" s="437"/>
      <c r="BS44" s="437"/>
      <c r="BT44" s="437"/>
      <c r="BU44" s="437"/>
      <c r="BV44" s="437"/>
      <c r="BW44" s="437"/>
      <c r="BX44" s="437"/>
      <c r="BY44" s="437"/>
      <c r="BZ44" s="437"/>
      <c r="CA44" s="437"/>
      <c r="CB44" s="437"/>
      <c r="CC44" s="437"/>
      <c r="CD44" s="437"/>
      <c r="CE44" s="437"/>
      <c r="CF44" s="437"/>
      <c r="CG44" s="437"/>
      <c r="CH44" s="437"/>
      <c r="CI44" s="437"/>
      <c r="CJ44" s="437"/>
      <c r="CK44" s="437"/>
      <c r="CL44" s="437"/>
      <c r="CM44" s="437"/>
      <c r="CN44" s="437"/>
      <c r="CO44" s="437"/>
      <c r="CP44" s="437"/>
      <c r="CQ44" s="437"/>
      <c r="CR44" s="437"/>
      <c r="CS44" s="437"/>
      <c r="CT44" s="437"/>
      <c r="CU44" s="437"/>
      <c r="CV44" s="437"/>
      <c r="CW44" s="437"/>
      <c r="CX44" s="437"/>
      <c r="CY44" s="437"/>
      <c r="CZ44" s="437"/>
      <c r="DA44" s="437"/>
    </row>
    <row r="45" spans="2:105" s="362" customFormat="1" x14ac:dyDescent="0.2">
      <c r="B45" s="12"/>
      <c r="C45" s="12"/>
      <c r="D45" s="13"/>
      <c r="E45" s="12"/>
      <c r="F45" s="12"/>
      <c r="G45" s="13"/>
      <c r="H45" s="12"/>
      <c r="I45" s="437"/>
      <c r="J45" s="437"/>
      <c r="K45" s="437"/>
      <c r="L45" s="437"/>
      <c r="M45" s="437"/>
      <c r="N45" s="437"/>
      <c r="O45" s="437"/>
      <c r="P45" s="437"/>
      <c r="Q45" s="437"/>
      <c r="R45" s="437"/>
      <c r="S45" s="437"/>
      <c r="T45" s="437"/>
      <c r="U45" s="437"/>
      <c r="V45" s="437"/>
      <c r="W45" s="437"/>
      <c r="X45" s="437"/>
      <c r="Y45" s="437"/>
      <c r="Z45" s="437"/>
      <c r="AA45" s="437"/>
      <c r="AB45" s="437"/>
      <c r="AC45" s="437"/>
      <c r="AD45" s="437"/>
      <c r="AE45" s="437"/>
      <c r="AF45" s="437"/>
      <c r="AG45" s="437"/>
      <c r="AH45" s="437"/>
      <c r="AI45" s="437"/>
      <c r="AJ45" s="437"/>
      <c r="AK45" s="437"/>
      <c r="AL45" s="437"/>
      <c r="AM45" s="437"/>
      <c r="AN45" s="437"/>
      <c r="AO45" s="437"/>
      <c r="AP45" s="437"/>
      <c r="AQ45" s="437"/>
      <c r="AR45" s="437"/>
      <c r="AS45" s="437"/>
      <c r="AT45" s="437"/>
      <c r="AU45" s="437"/>
      <c r="AV45" s="437"/>
      <c r="AW45" s="437"/>
      <c r="AX45" s="437"/>
      <c r="AY45" s="437"/>
      <c r="AZ45" s="437"/>
      <c r="BA45" s="437"/>
      <c r="BB45" s="437"/>
      <c r="BC45" s="437"/>
      <c r="BD45" s="437"/>
      <c r="BE45" s="437"/>
      <c r="BF45" s="437"/>
      <c r="BG45" s="437"/>
      <c r="BH45" s="437"/>
      <c r="BI45" s="437"/>
      <c r="BJ45" s="437"/>
      <c r="BK45" s="437"/>
      <c r="BL45" s="437"/>
      <c r="BM45" s="437"/>
      <c r="BN45" s="437"/>
      <c r="BO45" s="437"/>
      <c r="BP45" s="437"/>
      <c r="BQ45" s="437"/>
      <c r="BR45" s="437"/>
      <c r="BS45" s="437"/>
      <c r="BT45" s="437"/>
      <c r="BU45" s="437"/>
      <c r="BV45" s="437"/>
      <c r="BW45" s="437"/>
      <c r="BX45" s="437"/>
      <c r="BY45" s="437"/>
      <c r="BZ45" s="437"/>
      <c r="CA45" s="437"/>
      <c r="CB45" s="437"/>
      <c r="CC45" s="437"/>
      <c r="CD45" s="437"/>
      <c r="CE45" s="437"/>
      <c r="CF45" s="437"/>
      <c r="CG45" s="437"/>
      <c r="CH45" s="437"/>
      <c r="CI45" s="437"/>
      <c r="CJ45" s="437"/>
      <c r="CK45" s="437"/>
      <c r="CL45" s="437"/>
      <c r="CM45" s="437"/>
      <c r="CN45" s="437"/>
      <c r="CO45" s="437"/>
      <c r="CP45" s="437"/>
      <c r="CQ45" s="437"/>
      <c r="CR45" s="437"/>
      <c r="CS45" s="437"/>
      <c r="CT45" s="437"/>
      <c r="CU45" s="437"/>
      <c r="CV45" s="437"/>
      <c r="CW45" s="437"/>
      <c r="CX45" s="437"/>
      <c r="CY45" s="437"/>
      <c r="CZ45" s="437"/>
      <c r="DA45" s="437"/>
    </row>
    <row r="46" spans="2:105" s="362" customFormat="1" x14ac:dyDescent="0.2">
      <c r="B46" s="12"/>
      <c r="C46" s="12"/>
      <c r="D46" s="13"/>
      <c r="E46" s="12"/>
      <c r="F46" s="12"/>
      <c r="G46" s="13"/>
      <c r="H46" s="12"/>
      <c r="I46" s="437"/>
      <c r="J46" s="437"/>
      <c r="K46" s="437"/>
      <c r="L46" s="437"/>
      <c r="M46" s="437"/>
      <c r="N46" s="437"/>
      <c r="O46" s="437"/>
      <c r="P46" s="437"/>
      <c r="Q46" s="437"/>
      <c r="R46" s="437"/>
      <c r="S46" s="437"/>
      <c r="T46" s="437"/>
      <c r="U46" s="437"/>
      <c r="V46" s="437"/>
      <c r="W46" s="437"/>
      <c r="X46" s="437"/>
      <c r="Y46" s="437"/>
      <c r="Z46" s="437"/>
      <c r="AA46" s="437"/>
      <c r="AB46" s="437"/>
      <c r="AC46" s="437"/>
      <c r="AD46" s="437"/>
      <c r="AE46" s="437"/>
      <c r="AF46" s="437"/>
      <c r="AG46" s="437"/>
      <c r="AH46" s="437"/>
      <c r="AI46" s="437"/>
      <c r="AJ46" s="437"/>
      <c r="AK46" s="437"/>
      <c r="AL46" s="437"/>
      <c r="AM46" s="437"/>
      <c r="AN46" s="437"/>
      <c r="AO46" s="437"/>
      <c r="AP46" s="437"/>
      <c r="AQ46" s="437"/>
      <c r="AR46" s="437"/>
      <c r="AS46" s="437"/>
      <c r="AT46" s="437"/>
      <c r="AU46" s="437"/>
      <c r="AV46" s="437"/>
      <c r="AW46" s="437"/>
      <c r="AX46" s="437"/>
      <c r="AY46" s="437"/>
      <c r="AZ46" s="437"/>
      <c r="BA46" s="437"/>
      <c r="BB46" s="437"/>
      <c r="BC46" s="437"/>
      <c r="BD46" s="437"/>
      <c r="BE46" s="437"/>
      <c r="BF46" s="437"/>
      <c r="BG46" s="437"/>
      <c r="BH46" s="437"/>
      <c r="BI46" s="437"/>
      <c r="BJ46" s="437"/>
      <c r="BK46" s="437"/>
      <c r="BL46" s="437"/>
      <c r="BM46" s="437"/>
      <c r="BN46" s="437"/>
      <c r="BO46" s="437"/>
      <c r="BP46" s="437"/>
      <c r="BQ46" s="437"/>
      <c r="BR46" s="437"/>
      <c r="BS46" s="437"/>
      <c r="BT46" s="437"/>
      <c r="BU46" s="437"/>
      <c r="BV46" s="437"/>
      <c r="BW46" s="437"/>
      <c r="BX46" s="437"/>
      <c r="BY46" s="437"/>
      <c r="BZ46" s="437"/>
      <c r="CA46" s="437"/>
      <c r="CB46" s="437"/>
      <c r="CC46" s="437"/>
      <c r="CD46" s="437"/>
      <c r="CE46" s="437"/>
      <c r="CF46" s="437"/>
      <c r="CG46" s="437"/>
      <c r="CH46" s="437"/>
      <c r="CI46" s="437"/>
      <c r="CJ46" s="437"/>
      <c r="CK46" s="437"/>
      <c r="CL46" s="437"/>
      <c r="CM46" s="437"/>
      <c r="CN46" s="437"/>
      <c r="CO46" s="437"/>
      <c r="CP46" s="437"/>
      <c r="CQ46" s="437"/>
      <c r="CR46" s="437"/>
      <c r="CS46" s="437"/>
      <c r="CT46" s="437"/>
      <c r="CU46" s="437"/>
      <c r="CV46" s="437"/>
      <c r="CW46" s="437"/>
      <c r="CX46" s="437"/>
      <c r="CY46" s="437"/>
      <c r="CZ46" s="437"/>
      <c r="DA46" s="437"/>
    </row>
    <row r="47" spans="2:105" s="362" customFormat="1" x14ac:dyDescent="0.2">
      <c r="B47" s="12"/>
      <c r="C47" s="12"/>
      <c r="D47" s="13"/>
      <c r="E47" s="12"/>
      <c r="F47" s="12"/>
      <c r="G47" s="13"/>
      <c r="H47" s="12"/>
      <c r="I47" s="437"/>
      <c r="J47" s="437"/>
      <c r="K47" s="437"/>
      <c r="L47" s="437"/>
      <c r="M47" s="437"/>
      <c r="N47" s="437"/>
      <c r="O47" s="437"/>
      <c r="P47" s="437"/>
      <c r="Q47" s="437"/>
      <c r="R47" s="437"/>
      <c r="S47" s="437"/>
      <c r="T47" s="437"/>
      <c r="U47" s="437"/>
      <c r="V47" s="437"/>
      <c r="W47" s="437"/>
      <c r="X47" s="437"/>
      <c r="Y47" s="437"/>
      <c r="Z47" s="437"/>
      <c r="AA47" s="437"/>
      <c r="AB47" s="437"/>
      <c r="AC47" s="437"/>
      <c r="AD47" s="437"/>
      <c r="AE47" s="437"/>
      <c r="AF47" s="437"/>
      <c r="AG47" s="437"/>
      <c r="AH47" s="437"/>
      <c r="AI47" s="437"/>
      <c r="AJ47" s="437"/>
      <c r="AK47" s="437"/>
      <c r="AL47" s="437"/>
      <c r="AM47" s="437"/>
      <c r="AN47" s="437"/>
      <c r="AO47" s="437"/>
      <c r="AP47" s="437"/>
      <c r="AQ47" s="437"/>
      <c r="AR47" s="437"/>
      <c r="AS47" s="437"/>
      <c r="AT47" s="437"/>
      <c r="AU47" s="437"/>
      <c r="AV47" s="437"/>
      <c r="AW47" s="437"/>
      <c r="AX47" s="437"/>
      <c r="AY47" s="437"/>
      <c r="AZ47" s="437"/>
      <c r="BA47" s="437"/>
      <c r="BB47" s="437"/>
      <c r="BC47" s="437"/>
      <c r="BD47" s="437"/>
      <c r="BE47" s="437"/>
      <c r="BF47" s="437"/>
      <c r="BG47" s="437"/>
      <c r="BH47" s="437"/>
      <c r="BI47" s="437"/>
      <c r="BJ47" s="437"/>
      <c r="BK47" s="437"/>
      <c r="BL47" s="437"/>
      <c r="BM47" s="437"/>
      <c r="BN47" s="437"/>
      <c r="BO47" s="437"/>
      <c r="BP47" s="437"/>
      <c r="BQ47" s="437"/>
      <c r="BR47" s="437"/>
      <c r="BS47" s="437"/>
      <c r="BT47" s="437"/>
      <c r="BU47" s="437"/>
      <c r="BV47" s="437"/>
      <c r="BW47" s="437"/>
      <c r="BX47" s="437"/>
      <c r="BY47" s="437"/>
      <c r="BZ47" s="437"/>
      <c r="CA47" s="437"/>
      <c r="CB47" s="437"/>
      <c r="CC47" s="437"/>
      <c r="CD47" s="437"/>
      <c r="CE47" s="437"/>
      <c r="CF47" s="437"/>
      <c r="CG47" s="437"/>
      <c r="CH47" s="437"/>
      <c r="CI47" s="437"/>
      <c r="CJ47" s="437"/>
      <c r="CK47" s="437"/>
      <c r="CL47" s="437"/>
      <c r="CM47" s="437"/>
      <c r="CN47" s="437"/>
      <c r="CO47" s="437"/>
      <c r="CP47" s="437"/>
      <c r="CQ47" s="437"/>
      <c r="CR47" s="437"/>
      <c r="CS47" s="437"/>
      <c r="CT47" s="437"/>
      <c r="CU47" s="437"/>
      <c r="CV47" s="437"/>
      <c r="CW47" s="437"/>
      <c r="CX47" s="437"/>
      <c r="CY47" s="437"/>
      <c r="CZ47" s="437"/>
      <c r="DA47" s="437"/>
    </row>
    <row r="48" spans="2:105" s="362" customFormat="1" x14ac:dyDescent="0.2">
      <c r="B48" s="12"/>
      <c r="C48" s="12"/>
      <c r="D48" s="13"/>
      <c r="E48" s="12"/>
      <c r="F48" s="12"/>
      <c r="G48" s="13"/>
      <c r="H48" s="12"/>
      <c r="I48" s="437"/>
      <c r="J48" s="437"/>
      <c r="K48" s="437"/>
      <c r="L48" s="437"/>
      <c r="M48" s="437"/>
      <c r="N48" s="437"/>
      <c r="O48" s="437"/>
      <c r="P48" s="437"/>
      <c r="Q48" s="437"/>
      <c r="R48" s="437"/>
      <c r="S48" s="437"/>
      <c r="T48" s="437"/>
      <c r="U48" s="437"/>
      <c r="V48" s="437"/>
      <c r="W48" s="437"/>
      <c r="X48" s="437"/>
      <c r="Y48" s="437"/>
      <c r="Z48" s="437"/>
      <c r="AA48" s="437"/>
      <c r="AB48" s="437"/>
      <c r="AC48" s="437"/>
      <c r="AD48" s="437"/>
      <c r="AE48" s="437"/>
      <c r="AF48" s="437"/>
      <c r="AG48" s="437"/>
      <c r="AH48" s="437"/>
      <c r="AI48" s="437"/>
      <c r="AJ48" s="437"/>
      <c r="AK48" s="437"/>
      <c r="AL48" s="437"/>
      <c r="AM48" s="437"/>
      <c r="AN48" s="437"/>
      <c r="AO48" s="437"/>
      <c r="AP48" s="437"/>
      <c r="AQ48" s="437"/>
      <c r="AR48" s="437"/>
      <c r="AS48" s="437"/>
      <c r="AT48" s="437"/>
      <c r="AU48" s="437"/>
      <c r="AV48" s="437"/>
      <c r="AW48" s="437"/>
      <c r="AX48" s="437"/>
      <c r="AY48" s="437"/>
      <c r="AZ48" s="437"/>
      <c r="BA48" s="437"/>
      <c r="BB48" s="437"/>
      <c r="BC48" s="437"/>
      <c r="BD48" s="437"/>
      <c r="BE48" s="437"/>
      <c r="BF48" s="437"/>
      <c r="BG48" s="437"/>
      <c r="BH48" s="437"/>
      <c r="BI48" s="437"/>
      <c r="BJ48" s="437"/>
      <c r="BK48" s="437"/>
      <c r="BL48" s="437"/>
      <c r="BM48" s="437"/>
      <c r="BN48" s="437"/>
      <c r="BO48" s="437"/>
      <c r="BP48" s="437"/>
      <c r="BQ48" s="437"/>
      <c r="BR48" s="437"/>
      <c r="BS48" s="437"/>
      <c r="BT48" s="437"/>
      <c r="BU48" s="437"/>
      <c r="BV48" s="437"/>
      <c r="BW48" s="437"/>
      <c r="BX48" s="437"/>
      <c r="BY48" s="437"/>
      <c r="BZ48" s="437"/>
      <c r="CA48" s="437"/>
      <c r="CB48" s="437"/>
      <c r="CC48" s="437"/>
      <c r="CD48" s="437"/>
      <c r="CE48" s="437"/>
      <c r="CF48" s="437"/>
      <c r="CG48" s="437"/>
      <c r="CH48" s="437"/>
      <c r="CI48" s="437"/>
      <c r="CJ48" s="437"/>
      <c r="CK48" s="437"/>
      <c r="CL48" s="437"/>
      <c r="CM48" s="437"/>
      <c r="CN48" s="437"/>
      <c r="CO48" s="437"/>
      <c r="CP48" s="437"/>
      <c r="CQ48" s="437"/>
      <c r="CR48" s="437"/>
      <c r="CS48" s="437"/>
      <c r="CT48" s="437"/>
      <c r="CU48" s="437"/>
      <c r="CV48" s="437"/>
      <c r="CW48" s="437"/>
      <c r="CX48" s="437"/>
      <c r="CY48" s="437"/>
      <c r="CZ48" s="437"/>
      <c r="DA48" s="437"/>
    </row>
    <row r="49" spans="2:105" s="362" customFormat="1" x14ac:dyDescent="0.2">
      <c r="B49" s="12"/>
      <c r="C49" s="12"/>
      <c r="D49" s="13"/>
      <c r="E49" s="12"/>
      <c r="F49" s="12"/>
      <c r="G49" s="13"/>
      <c r="H49" s="12"/>
      <c r="I49" s="437"/>
      <c r="J49" s="437"/>
      <c r="K49" s="437"/>
      <c r="L49" s="437"/>
      <c r="M49" s="437"/>
      <c r="N49" s="437"/>
      <c r="O49" s="437"/>
      <c r="P49" s="437"/>
      <c r="Q49" s="437"/>
      <c r="R49" s="437"/>
      <c r="S49" s="437"/>
      <c r="T49" s="437"/>
      <c r="U49" s="437"/>
      <c r="V49" s="437"/>
      <c r="W49" s="437"/>
      <c r="X49" s="437"/>
      <c r="Y49" s="437"/>
      <c r="Z49" s="437"/>
      <c r="AA49" s="437"/>
      <c r="AB49" s="437"/>
      <c r="AC49" s="437"/>
      <c r="AD49" s="437"/>
      <c r="AE49" s="437"/>
      <c r="AF49" s="437"/>
      <c r="AG49" s="437"/>
      <c r="AH49" s="437"/>
      <c r="AI49" s="437"/>
      <c r="AJ49" s="437"/>
      <c r="AK49" s="437"/>
      <c r="AL49" s="437"/>
      <c r="AM49" s="437"/>
      <c r="AN49" s="437"/>
      <c r="AO49" s="437"/>
      <c r="AP49" s="437"/>
      <c r="AQ49" s="437"/>
      <c r="AR49" s="437"/>
      <c r="AS49" s="437"/>
      <c r="AT49" s="437"/>
      <c r="AU49" s="437"/>
      <c r="AV49" s="437"/>
      <c r="AW49" s="437"/>
      <c r="AX49" s="437"/>
      <c r="AY49" s="437"/>
      <c r="AZ49" s="437"/>
      <c r="BA49" s="437"/>
      <c r="BB49" s="437"/>
      <c r="BC49" s="437"/>
      <c r="BD49" s="437"/>
      <c r="BE49" s="437"/>
      <c r="BF49" s="437"/>
      <c r="BG49" s="437"/>
      <c r="BH49" s="437"/>
      <c r="BI49" s="437"/>
      <c r="BJ49" s="437"/>
      <c r="BK49" s="437"/>
      <c r="BL49" s="437"/>
      <c r="BM49" s="437"/>
      <c r="BN49" s="437"/>
      <c r="BO49" s="437"/>
      <c r="BP49" s="437"/>
      <c r="BQ49" s="437"/>
      <c r="BR49" s="437"/>
      <c r="BS49" s="437"/>
      <c r="BT49" s="437"/>
      <c r="BU49" s="437"/>
      <c r="BV49" s="437"/>
      <c r="BW49" s="437"/>
      <c r="BX49" s="437"/>
      <c r="BY49" s="437"/>
      <c r="BZ49" s="437"/>
      <c r="CA49" s="437"/>
      <c r="CB49" s="437"/>
      <c r="CC49" s="437"/>
      <c r="CD49" s="437"/>
      <c r="CE49" s="437"/>
      <c r="CF49" s="437"/>
      <c r="CG49" s="437"/>
      <c r="CH49" s="437"/>
      <c r="CI49" s="437"/>
      <c r="CJ49" s="437"/>
      <c r="CK49" s="437"/>
      <c r="CL49" s="437"/>
      <c r="CM49" s="437"/>
      <c r="CN49" s="437"/>
      <c r="CO49" s="437"/>
      <c r="CP49" s="437"/>
      <c r="CQ49" s="437"/>
      <c r="CR49" s="437"/>
      <c r="CS49" s="437"/>
      <c r="CT49" s="437"/>
      <c r="CU49" s="437"/>
      <c r="CV49" s="437"/>
      <c r="CW49" s="437"/>
      <c r="CX49" s="437"/>
      <c r="CY49" s="437"/>
      <c r="CZ49" s="437"/>
      <c r="DA49" s="437"/>
    </row>
    <row r="50" spans="2:105" s="362" customFormat="1" x14ac:dyDescent="0.2">
      <c r="B50" s="12"/>
      <c r="C50" s="12"/>
      <c r="D50" s="13"/>
      <c r="E50" s="12"/>
      <c r="F50" s="12"/>
      <c r="G50" s="13"/>
      <c r="H50" s="12"/>
      <c r="I50" s="437"/>
      <c r="J50" s="437"/>
      <c r="K50" s="437"/>
      <c r="L50" s="437"/>
      <c r="M50" s="437"/>
      <c r="N50" s="437"/>
      <c r="O50" s="437"/>
      <c r="P50" s="437"/>
      <c r="Q50" s="437"/>
      <c r="R50" s="437"/>
      <c r="S50" s="437"/>
      <c r="T50" s="437"/>
      <c r="U50" s="437"/>
      <c r="V50" s="437"/>
      <c r="W50" s="437"/>
      <c r="X50" s="437"/>
      <c r="Y50" s="437"/>
      <c r="Z50" s="437"/>
      <c r="AA50" s="437"/>
      <c r="AB50" s="437"/>
      <c r="AC50" s="437"/>
      <c r="AD50" s="437"/>
      <c r="AE50" s="437"/>
      <c r="AF50" s="437"/>
      <c r="AG50" s="437"/>
      <c r="AH50" s="437"/>
      <c r="AI50" s="437"/>
      <c r="AJ50" s="437"/>
      <c r="AK50" s="437"/>
      <c r="AL50" s="437"/>
      <c r="AM50" s="437"/>
      <c r="AN50" s="437"/>
      <c r="AO50" s="437"/>
      <c r="AP50" s="437"/>
      <c r="AQ50" s="437"/>
      <c r="AR50" s="437"/>
      <c r="AS50" s="437"/>
      <c r="AT50" s="437"/>
      <c r="AU50" s="437"/>
      <c r="AV50" s="437"/>
      <c r="AW50" s="437"/>
      <c r="AX50" s="437"/>
      <c r="AY50" s="437"/>
      <c r="AZ50" s="437"/>
      <c r="BA50" s="437"/>
      <c r="BB50" s="437"/>
      <c r="BC50" s="437"/>
      <c r="BD50" s="437"/>
      <c r="BE50" s="437"/>
      <c r="BF50" s="437"/>
      <c r="BG50" s="437"/>
      <c r="BH50" s="437"/>
      <c r="BI50" s="437"/>
      <c r="BJ50" s="437"/>
      <c r="BK50" s="437"/>
      <c r="BL50" s="437"/>
      <c r="BM50" s="437"/>
      <c r="BN50" s="437"/>
      <c r="BO50" s="437"/>
      <c r="BP50" s="437"/>
      <c r="BQ50" s="437"/>
      <c r="BR50" s="437"/>
      <c r="BS50" s="437"/>
      <c r="BT50" s="437"/>
      <c r="BU50" s="437"/>
      <c r="BV50" s="437"/>
      <c r="BW50" s="437"/>
      <c r="BX50" s="437"/>
      <c r="BY50" s="437"/>
      <c r="BZ50" s="437"/>
      <c r="CA50" s="437"/>
      <c r="CB50" s="437"/>
      <c r="CC50" s="437"/>
      <c r="CD50" s="437"/>
      <c r="CE50" s="437"/>
      <c r="CF50" s="437"/>
      <c r="CG50" s="437"/>
      <c r="CH50" s="437"/>
      <c r="CI50" s="437"/>
      <c r="CJ50" s="437"/>
      <c r="CK50" s="437"/>
      <c r="CL50" s="437"/>
      <c r="CM50" s="437"/>
      <c r="CN50" s="437"/>
      <c r="CO50" s="437"/>
      <c r="CP50" s="437"/>
      <c r="CQ50" s="437"/>
      <c r="CR50" s="437"/>
      <c r="CS50" s="437"/>
      <c r="CT50" s="437"/>
      <c r="CU50" s="437"/>
      <c r="CV50" s="437"/>
      <c r="CW50" s="437"/>
      <c r="CX50" s="437"/>
      <c r="CY50" s="437"/>
      <c r="CZ50" s="437"/>
      <c r="DA50" s="437"/>
    </row>
    <row r="51" spans="2:105" s="362" customFormat="1" x14ac:dyDescent="0.2">
      <c r="B51" s="12"/>
      <c r="C51" s="12"/>
      <c r="D51" s="13"/>
      <c r="E51" s="12"/>
      <c r="F51" s="12"/>
      <c r="G51" s="13"/>
      <c r="H51" s="12"/>
      <c r="I51" s="437"/>
      <c r="J51" s="437"/>
      <c r="K51" s="437"/>
      <c r="L51" s="437"/>
      <c r="M51" s="437"/>
      <c r="N51" s="437"/>
      <c r="O51" s="437"/>
      <c r="P51" s="437"/>
      <c r="Q51" s="437"/>
      <c r="R51" s="437"/>
      <c r="S51" s="437"/>
      <c r="T51" s="437"/>
      <c r="U51" s="437"/>
      <c r="V51" s="437"/>
      <c r="W51" s="437"/>
      <c r="X51" s="437"/>
      <c r="Y51" s="437"/>
      <c r="Z51" s="437"/>
      <c r="AA51" s="437"/>
      <c r="AB51" s="437"/>
      <c r="AC51" s="437"/>
      <c r="AD51" s="437"/>
      <c r="AE51" s="437"/>
      <c r="AF51" s="437"/>
      <c r="AG51" s="437"/>
      <c r="AH51" s="437"/>
      <c r="AI51" s="437"/>
      <c r="AJ51" s="437"/>
      <c r="AK51" s="437"/>
      <c r="AL51" s="437"/>
      <c r="AM51" s="437"/>
      <c r="AN51" s="437"/>
      <c r="AO51" s="437"/>
      <c r="AP51" s="437"/>
      <c r="AQ51" s="437"/>
      <c r="AR51" s="437"/>
      <c r="AS51" s="437"/>
      <c r="AT51" s="437"/>
      <c r="AU51" s="437"/>
      <c r="AV51" s="437"/>
      <c r="AW51" s="437"/>
      <c r="AX51" s="437"/>
      <c r="AY51" s="437"/>
      <c r="AZ51" s="437"/>
      <c r="BA51" s="437"/>
      <c r="BB51" s="437"/>
      <c r="BC51" s="437"/>
      <c r="BD51" s="437"/>
      <c r="BE51" s="437"/>
      <c r="BF51" s="437"/>
      <c r="BG51" s="437"/>
      <c r="BH51" s="437"/>
      <c r="BI51" s="437"/>
      <c r="BJ51" s="437"/>
      <c r="BK51" s="437"/>
      <c r="BL51" s="437"/>
      <c r="BM51" s="437"/>
      <c r="BN51" s="437"/>
      <c r="BO51" s="437"/>
      <c r="BP51" s="437"/>
      <c r="BQ51" s="437"/>
      <c r="BR51" s="437"/>
      <c r="BS51" s="437"/>
      <c r="BT51" s="437"/>
      <c r="BU51" s="437"/>
      <c r="BV51" s="437"/>
      <c r="BW51" s="437"/>
      <c r="BX51" s="437"/>
      <c r="BY51" s="437"/>
      <c r="BZ51" s="437"/>
      <c r="CA51" s="437"/>
      <c r="CB51" s="437"/>
      <c r="CC51" s="437"/>
      <c r="CD51" s="437"/>
      <c r="CE51" s="437"/>
      <c r="CF51" s="437"/>
      <c r="CG51" s="437"/>
      <c r="CH51" s="437"/>
      <c r="CI51" s="437"/>
      <c r="CJ51" s="437"/>
      <c r="CK51" s="437"/>
      <c r="CL51" s="437"/>
      <c r="CM51" s="437"/>
      <c r="CN51" s="437"/>
      <c r="CO51" s="437"/>
      <c r="CP51" s="437"/>
      <c r="CQ51" s="437"/>
      <c r="CR51" s="437"/>
      <c r="CS51" s="437"/>
      <c r="CT51" s="437"/>
      <c r="CU51" s="437"/>
      <c r="CV51" s="437"/>
      <c r="CW51" s="437"/>
      <c r="CX51" s="437"/>
      <c r="CY51" s="437"/>
      <c r="CZ51" s="437"/>
      <c r="DA51" s="437"/>
    </row>
    <row r="52" spans="2:105" s="362" customFormat="1" x14ac:dyDescent="0.2">
      <c r="B52" s="12"/>
      <c r="C52" s="12"/>
      <c r="D52" s="13"/>
      <c r="E52" s="12"/>
      <c r="F52" s="12"/>
      <c r="G52" s="13"/>
      <c r="H52" s="12"/>
      <c r="I52" s="437"/>
      <c r="J52" s="437"/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7"/>
      <c r="W52" s="437"/>
      <c r="X52" s="437"/>
      <c r="Y52" s="437"/>
      <c r="Z52" s="437"/>
      <c r="AA52" s="437"/>
      <c r="AB52" s="437"/>
      <c r="AC52" s="437"/>
      <c r="AD52" s="437"/>
      <c r="AE52" s="437"/>
      <c r="AF52" s="437"/>
      <c r="AG52" s="437"/>
      <c r="AH52" s="437"/>
      <c r="AI52" s="437"/>
      <c r="AJ52" s="437"/>
      <c r="AK52" s="437"/>
      <c r="AL52" s="437"/>
      <c r="AM52" s="437"/>
      <c r="AN52" s="437"/>
      <c r="AO52" s="437"/>
      <c r="AP52" s="437"/>
      <c r="AQ52" s="437"/>
      <c r="AR52" s="437"/>
      <c r="AS52" s="437"/>
      <c r="AT52" s="437"/>
      <c r="AU52" s="437"/>
      <c r="AV52" s="437"/>
      <c r="AW52" s="437"/>
      <c r="AX52" s="437"/>
      <c r="AY52" s="437"/>
      <c r="AZ52" s="437"/>
      <c r="BA52" s="437"/>
      <c r="BB52" s="437"/>
      <c r="BC52" s="437"/>
      <c r="BD52" s="437"/>
      <c r="BE52" s="437"/>
      <c r="BF52" s="437"/>
      <c r="BG52" s="437"/>
      <c r="BH52" s="437"/>
      <c r="BI52" s="437"/>
      <c r="BJ52" s="437"/>
      <c r="BK52" s="437"/>
      <c r="BL52" s="437"/>
      <c r="BM52" s="437"/>
      <c r="BN52" s="437"/>
      <c r="BO52" s="437"/>
      <c r="BP52" s="437"/>
      <c r="BQ52" s="437"/>
      <c r="BR52" s="437"/>
      <c r="BS52" s="437"/>
      <c r="BT52" s="437"/>
      <c r="BU52" s="437"/>
      <c r="BV52" s="437"/>
      <c r="BW52" s="437"/>
      <c r="BX52" s="437"/>
      <c r="BY52" s="437"/>
      <c r="BZ52" s="437"/>
      <c r="CA52" s="437"/>
      <c r="CB52" s="437"/>
      <c r="CC52" s="437"/>
      <c r="CD52" s="437"/>
      <c r="CE52" s="437"/>
      <c r="CF52" s="437"/>
      <c r="CG52" s="437"/>
      <c r="CH52" s="437"/>
      <c r="CI52" s="437"/>
      <c r="CJ52" s="437"/>
      <c r="CK52" s="437"/>
      <c r="CL52" s="437"/>
      <c r="CM52" s="437"/>
      <c r="CN52" s="437"/>
      <c r="CO52" s="437"/>
      <c r="CP52" s="437"/>
      <c r="CQ52" s="437"/>
      <c r="CR52" s="437"/>
      <c r="CS52" s="437"/>
      <c r="CT52" s="437"/>
      <c r="CU52" s="437"/>
      <c r="CV52" s="437"/>
      <c r="CW52" s="437"/>
      <c r="CX52" s="437"/>
      <c r="CY52" s="437"/>
      <c r="CZ52" s="437"/>
      <c r="DA52" s="437"/>
    </row>
    <row r="53" spans="2:105" s="362" customFormat="1" x14ac:dyDescent="0.2">
      <c r="B53" s="12"/>
      <c r="C53" s="12"/>
      <c r="D53" s="13"/>
      <c r="E53" s="12"/>
      <c r="F53" s="12"/>
      <c r="G53" s="13"/>
      <c r="H53" s="12"/>
      <c r="I53" s="437"/>
      <c r="J53" s="437"/>
      <c r="K53" s="437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  <c r="AD53" s="437"/>
      <c r="AE53" s="437"/>
      <c r="AF53" s="437"/>
      <c r="AG53" s="437"/>
      <c r="AH53" s="437"/>
      <c r="AI53" s="437"/>
      <c r="AJ53" s="437"/>
      <c r="AK53" s="437"/>
      <c r="AL53" s="437"/>
      <c r="AM53" s="437"/>
      <c r="AN53" s="437"/>
      <c r="AO53" s="437"/>
      <c r="AP53" s="437"/>
      <c r="AQ53" s="437"/>
      <c r="AR53" s="437"/>
      <c r="AS53" s="437"/>
      <c r="AT53" s="437"/>
      <c r="AU53" s="437"/>
      <c r="AV53" s="437"/>
      <c r="AW53" s="437"/>
      <c r="AX53" s="437"/>
      <c r="AY53" s="437"/>
      <c r="AZ53" s="437"/>
      <c r="BA53" s="437"/>
      <c r="BB53" s="437"/>
      <c r="BC53" s="437"/>
      <c r="BD53" s="437"/>
      <c r="BE53" s="437"/>
      <c r="BF53" s="437"/>
      <c r="BG53" s="437"/>
      <c r="BH53" s="437"/>
      <c r="BI53" s="437"/>
      <c r="BJ53" s="437"/>
      <c r="BK53" s="437"/>
      <c r="BL53" s="437"/>
      <c r="BM53" s="437"/>
      <c r="BN53" s="437"/>
      <c r="BO53" s="437"/>
      <c r="BP53" s="437"/>
      <c r="BQ53" s="437"/>
      <c r="BR53" s="437"/>
      <c r="BS53" s="437"/>
      <c r="BT53" s="437"/>
      <c r="BU53" s="437"/>
      <c r="BV53" s="437"/>
      <c r="BW53" s="437"/>
      <c r="BX53" s="437"/>
      <c r="BY53" s="437"/>
      <c r="BZ53" s="437"/>
      <c r="CA53" s="437"/>
      <c r="CB53" s="437"/>
      <c r="CC53" s="437"/>
      <c r="CD53" s="437"/>
      <c r="CE53" s="437"/>
      <c r="CF53" s="437"/>
      <c r="CG53" s="437"/>
      <c r="CH53" s="437"/>
      <c r="CI53" s="437"/>
      <c r="CJ53" s="437"/>
      <c r="CK53" s="437"/>
      <c r="CL53" s="437"/>
      <c r="CM53" s="437"/>
      <c r="CN53" s="437"/>
      <c r="CO53" s="437"/>
      <c r="CP53" s="437"/>
      <c r="CQ53" s="437"/>
      <c r="CR53" s="437"/>
      <c r="CS53" s="437"/>
      <c r="CT53" s="437"/>
      <c r="CU53" s="437"/>
      <c r="CV53" s="437"/>
      <c r="CW53" s="437"/>
      <c r="CX53" s="437"/>
      <c r="CY53" s="437"/>
      <c r="CZ53" s="437"/>
      <c r="DA53" s="437"/>
    </row>
    <row r="54" spans="2:105" s="362" customFormat="1" x14ac:dyDescent="0.2">
      <c r="B54" s="12"/>
      <c r="C54" s="12"/>
      <c r="D54" s="13"/>
      <c r="E54" s="12"/>
      <c r="F54" s="12"/>
      <c r="G54" s="13"/>
      <c r="H54" s="12"/>
      <c r="I54" s="437"/>
      <c r="J54" s="437"/>
      <c r="K54" s="437"/>
      <c r="L54" s="437"/>
      <c r="M54" s="437"/>
      <c r="N54" s="437"/>
      <c r="O54" s="437"/>
      <c r="P54" s="437"/>
      <c r="Q54" s="437"/>
      <c r="R54" s="437"/>
      <c r="S54" s="437"/>
      <c r="T54" s="437"/>
      <c r="U54" s="437"/>
      <c r="V54" s="437"/>
      <c r="W54" s="437"/>
      <c r="X54" s="437"/>
      <c r="Y54" s="437"/>
      <c r="Z54" s="437"/>
      <c r="AA54" s="437"/>
      <c r="AB54" s="437"/>
      <c r="AC54" s="437"/>
      <c r="AD54" s="437"/>
      <c r="AE54" s="437"/>
      <c r="AF54" s="437"/>
      <c r="AG54" s="437"/>
      <c r="AH54" s="437"/>
      <c r="AI54" s="437"/>
      <c r="AJ54" s="437"/>
      <c r="AK54" s="437"/>
      <c r="AL54" s="437"/>
      <c r="AM54" s="437"/>
      <c r="AN54" s="437"/>
      <c r="AO54" s="437"/>
      <c r="AP54" s="437"/>
      <c r="AQ54" s="437"/>
      <c r="AR54" s="437"/>
      <c r="AS54" s="437"/>
      <c r="AT54" s="437"/>
      <c r="AU54" s="437"/>
      <c r="AV54" s="437"/>
      <c r="AW54" s="437"/>
      <c r="AX54" s="437"/>
      <c r="AY54" s="437"/>
      <c r="AZ54" s="437"/>
      <c r="BA54" s="437"/>
      <c r="BB54" s="437"/>
      <c r="BC54" s="437"/>
      <c r="BD54" s="437"/>
      <c r="BE54" s="437"/>
      <c r="BF54" s="437"/>
      <c r="BG54" s="437"/>
      <c r="BH54" s="437"/>
      <c r="BI54" s="437"/>
      <c r="BJ54" s="437"/>
      <c r="BK54" s="437"/>
      <c r="BL54" s="437"/>
      <c r="BM54" s="437"/>
      <c r="BN54" s="437"/>
      <c r="BO54" s="437"/>
      <c r="BP54" s="437"/>
      <c r="BQ54" s="437"/>
      <c r="BR54" s="437"/>
      <c r="BS54" s="437"/>
      <c r="BT54" s="437"/>
      <c r="BU54" s="437"/>
      <c r="BV54" s="437"/>
      <c r="BW54" s="437"/>
      <c r="BX54" s="437"/>
      <c r="BY54" s="437"/>
      <c r="BZ54" s="437"/>
      <c r="CA54" s="437"/>
      <c r="CB54" s="437"/>
      <c r="CC54" s="437"/>
      <c r="CD54" s="437"/>
      <c r="CE54" s="437"/>
      <c r="CF54" s="437"/>
      <c r="CG54" s="437"/>
      <c r="CH54" s="437"/>
      <c r="CI54" s="437"/>
      <c r="CJ54" s="437"/>
      <c r="CK54" s="437"/>
      <c r="CL54" s="437"/>
      <c r="CM54" s="437"/>
      <c r="CN54" s="437"/>
      <c r="CO54" s="437"/>
      <c r="CP54" s="437"/>
      <c r="CQ54" s="437"/>
      <c r="CR54" s="437"/>
      <c r="CS54" s="437"/>
      <c r="CT54" s="437"/>
      <c r="CU54" s="437"/>
      <c r="CV54" s="437"/>
      <c r="CW54" s="437"/>
      <c r="CX54" s="437"/>
      <c r="CY54" s="437"/>
      <c r="CZ54" s="437"/>
      <c r="DA54" s="437"/>
    </row>
    <row r="55" spans="2:105" s="362" customFormat="1" x14ac:dyDescent="0.2">
      <c r="B55" s="12"/>
      <c r="C55" s="12"/>
      <c r="D55" s="13"/>
      <c r="E55" s="12"/>
      <c r="F55" s="12"/>
      <c r="G55" s="13"/>
      <c r="H55" s="12"/>
      <c r="I55" s="437"/>
      <c r="J55" s="437"/>
      <c r="K55" s="437"/>
      <c r="L55" s="437"/>
      <c r="M55" s="437"/>
      <c r="N55" s="437"/>
      <c r="O55" s="437"/>
      <c r="P55" s="437"/>
      <c r="Q55" s="437"/>
      <c r="R55" s="437"/>
      <c r="S55" s="437"/>
      <c r="T55" s="437"/>
      <c r="U55" s="437"/>
      <c r="V55" s="437"/>
      <c r="W55" s="437"/>
      <c r="X55" s="437"/>
      <c r="Y55" s="437"/>
      <c r="Z55" s="437"/>
      <c r="AA55" s="437"/>
      <c r="AB55" s="437"/>
      <c r="AC55" s="437"/>
      <c r="AD55" s="437"/>
      <c r="AE55" s="437"/>
      <c r="AF55" s="437"/>
      <c r="AG55" s="437"/>
      <c r="AH55" s="437"/>
      <c r="AI55" s="437"/>
      <c r="AJ55" s="437"/>
      <c r="AK55" s="437"/>
      <c r="AL55" s="437"/>
      <c r="AM55" s="437"/>
      <c r="AN55" s="437"/>
      <c r="AO55" s="437"/>
      <c r="AP55" s="437"/>
      <c r="AQ55" s="437"/>
      <c r="AR55" s="437"/>
      <c r="AS55" s="437"/>
      <c r="AT55" s="437"/>
      <c r="AU55" s="437"/>
      <c r="AV55" s="437"/>
      <c r="AW55" s="437"/>
      <c r="AX55" s="437"/>
      <c r="AY55" s="437"/>
      <c r="AZ55" s="437"/>
      <c r="BA55" s="437"/>
      <c r="BB55" s="437"/>
      <c r="BC55" s="437"/>
      <c r="BD55" s="437"/>
      <c r="BE55" s="437"/>
      <c r="BF55" s="437"/>
      <c r="BG55" s="437"/>
      <c r="BH55" s="437"/>
      <c r="BI55" s="437"/>
      <c r="BJ55" s="437"/>
      <c r="BK55" s="437"/>
      <c r="BL55" s="437"/>
      <c r="BM55" s="437"/>
      <c r="BN55" s="437"/>
      <c r="BO55" s="437"/>
      <c r="BP55" s="437"/>
      <c r="BQ55" s="437"/>
      <c r="BR55" s="437"/>
      <c r="BS55" s="437"/>
      <c r="BT55" s="437"/>
      <c r="BU55" s="437"/>
      <c r="BV55" s="437"/>
      <c r="BW55" s="437"/>
      <c r="BX55" s="437"/>
      <c r="BY55" s="437"/>
      <c r="BZ55" s="437"/>
      <c r="CA55" s="437"/>
      <c r="CB55" s="437"/>
      <c r="CC55" s="437"/>
      <c r="CD55" s="437"/>
      <c r="CE55" s="437"/>
      <c r="CF55" s="437"/>
      <c r="CG55" s="437"/>
      <c r="CH55" s="437"/>
      <c r="CI55" s="437"/>
      <c r="CJ55" s="437"/>
      <c r="CK55" s="437"/>
      <c r="CL55" s="437"/>
      <c r="CM55" s="437"/>
      <c r="CN55" s="437"/>
      <c r="CO55" s="437"/>
      <c r="CP55" s="437"/>
      <c r="CQ55" s="437"/>
      <c r="CR55" s="437"/>
      <c r="CS55" s="437"/>
      <c r="CT55" s="437"/>
      <c r="CU55" s="437"/>
      <c r="CV55" s="437"/>
      <c r="CW55" s="437"/>
      <c r="CX55" s="437"/>
      <c r="CY55" s="437"/>
      <c r="CZ55" s="437"/>
      <c r="DA55" s="437"/>
    </row>
    <row r="56" spans="2:105" s="362" customFormat="1" x14ac:dyDescent="0.2">
      <c r="B56" s="12"/>
      <c r="C56" s="12"/>
      <c r="D56" s="13"/>
      <c r="E56" s="12"/>
      <c r="F56" s="12"/>
      <c r="G56" s="13"/>
      <c r="H56" s="12"/>
      <c r="I56" s="437"/>
      <c r="J56" s="437"/>
      <c r="K56" s="437"/>
      <c r="L56" s="437"/>
      <c r="M56" s="437"/>
      <c r="N56" s="437"/>
      <c r="O56" s="437"/>
      <c r="P56" s="437"/>
      <c r="Q56" s="437"/>
      <c r="R56" s="437"/>
      <c r="S56" s="437"/>
      <c r="T56" s="437"/>
      <c r="U56" s="437"/>
      <c r="V56" s="437"/>
      <c r="W56" s="437"/>
      <c r="X56" s="437"/>
      <c r="Y56" s="437"/>
      <c r="Z56" s="437"/>
      <c r="AA56" s="437"/>
      <c r="AB56" s="437"/>
      <c r="AC56" s="437"/>
      <c r="AD56" s="437"/>
      <c r="AE56" s="437"/>
      <c r="AF56" s="437"/>
      <c r="AG56" s="437"/>
      <c r="AH56" s="437"/>
      <c r="AI56" s="437"/>
      <c r="AJ56" s="437"/>
      <c r="AK56" s="437"/>
      <c r="AL56" s="437"/>
      <c r="AM56" s="437"/>
      <c r="AN56" s="437"/>
      <c r="AO56" s="437"/>
      <c r="AP56" s="437"/>
      <c r="AQ56" s="437"/>
      <c r="AR56" s="437"/>
      <c r="AS56" s="437"/>
      <c r="AT56" s="437"/>
      <c r="AU56" s="437"/>
      <c r="AV56" s="437"/>
      <c r="AW56" s="437"/>
      <c r="AX56" s="437"/>
      <c r="AY56" s="437"/>
      <c r="AZ56" s="437"/>
      <c r="BA56" s="437"/>
      <c r="BB56" s="437"/>
      <c r="BC56" s="437"/>
      <c r="BD56" s="437"/>
      <c r="BE56" s="437"/>
      <c r="BF56" s="437"/>
      <c r="BG56" s="437"/>
      <c r="BH56" s="437"/>
      <c r="BI56" s="437"/>
      <c r="BJ56" s="437"/>
      <c r="BK56" s="437"/>
      <c r="BL56" s="437"/>
      <c r="BM56" s="437"/>
      <c r="BN56" s="437"/>
      <c r="BO56" s="437"/>
      <c r="BP56" s="437"/>
      <c r="BQ56" s="437"/>
      <c r="BR56" s="437"/>
      <c r="BS56" s="437"/>
      <c r="BT56" s="437"/>
      <c r="BU56" s="437"/>
      <c r="BV56" s="437"/>
      <c r="BW56" s="437"/>
      <c r="BX56" s="437"/>
      <c r="BY56" s="437"/>
      <c r="BZ56" s="437"/>
      <c r="CA56" s="437"/>
      <c r="CB56" s="437"/>
      <c r="CC56" s="437"/>
      <c r="CD56" s="437"/>
      <c r="CE56" s="437"/>
      <c r="CF56" s="437"/>
      <c r="CG56" s="437"/>
      <c r="CH56" s="437"/>
      <c r="CI56" s="437"/>
      <c r="CJ56" s="437"/>
      <c r="CK56" s="437"/>
      <c r="CL56" s="437"/>
      <c r="CM56" s="437"/>
      <c r="CN56" s="437"/>
      <c r="CO56" s="437"/>
      <c r="CP56" s="437"/>
      <c r="CQ56" s="437"/>
      <c r="CR56" s="437"/>
      <c r="CS56" s="437"/>
      <c r="CT56" s="437"/>
      <c r="CU56" s="437"/>
      <c r="CV56" s="437"/>
      <c r="CW56" s="437"/>
      <c r="CX56" s="437"/>
      <c r="CY56" s="437"/>
      <c r="CZ56" s="437"/>
      <c r="DA56" s="437"/>
    </row>
    <row r="57" spans="2:105" s="362" customFormat="1" x14ac:dyDescent="0.2">
      <c r="B57" s="12"/>
      <c r="C57" s="12"/>
      <c r="D57" s="13"/>
      <c r="E57" s="12"/>
      <c r="F57" s="12"/>
      <c r="G57" s="13"/>
      <c r="H57" s="12"/>
      <c r="I57" s="437"/>
      <c r="J57" s="437"/>
      <c r="K57" s="437"/>
      <c r="L57" s="437"/>
      <c r="M57" s="437"/>
      <c r="N57" s="437"/>
      <c r="O57" s="437"/>
      <c r="P57" s="437"/>
      <c r="Q57" s="437"/>
      <c r="R57" s="437"/>
      <c r="S57" s="437"/>
      <c r="T57" s="437"/>
      <c r="U57" s="437"/>
      <c r="V57" s="437"/>
      <c r="W57" s="437"/>
      <c r="X57" s="437"/>
      <c r="Y57" s="437"/>
      <c r="Z57" s="437"/>
      <c r="AA57" s="437"/>
      <c r="AB57" s="437"/>
      <c r="AC57" s="437"/>
      <c r="AD57" s="437"/>
      <c r="AE57" s="437"/>
      <c r="AF57" s="437"/>
      <c r="AG57" s="437"/>
      <c r="AH57" s="437"/>
      <c r="AI57" s="437"/>
      <c r="AJ57" s="437"/>
      <c r="AK57" s="437"/>
      <c r="AL57" s="437"/>
      <c r="AM57" s="437"/>
      <c r="AN57" s="437"/>
      <c r="AO57" s="437"/>
      <c r="AP57" s="437"/>
      <c r="AQ57" s="437"/>
      <c r="AR57" s="437"/>
      <c r="AS57" s="437"/>
      <c r="AT57" s="437"/>
      <c r="AU57" s="437"/>
      <c r="AV57" s="437"/>
      <c r="AW57" s="437"/>
      <c r="AX57" s="437"/>
      <c r="AY57" s="437"/>
      <c r="AZ57" s="437"/>
      <c r="BA57" s="437"/>
      <c r="BB57" s="437"/>
      <c r="BC57" s="437"/>
      <c r="BD57" s="437"/>
      <c r="BE57" s="437"/>
      <c r="BF57" s="437"/>
      <c r="BG57" s="437"/>
      <c r="BH57" s="437"/>
      <c r="BI57" s="437"/>
      <c r="BJ57" s="437"/>
      <c r="BK57" s="437"/>
      <c r="BL57" s="437"/>
      <c r="BM57" s="437"/>
      <c r="BN57" s="437"/>
      <c r="BO57" s="437"/>
      <c r="BP57" s="437"/>
      <c r="BQ57" s="437"/>
      <c r="BR57" s="437"/>
      <c r="BS57" s="437"/>
      <c r="BT57" s="437"/>
      <c r="BU57" s="437"/>
      <c r="BV57" s="437"/>
      <c r="BW57" s="437"/>
      <c r="BX57" s="437"/>
      <c r="BY57" s="437"/>
      <c r="BZ57" s="437"/>
      <c r="CA57" s="437"/>
      <c r="CB57" s="437"/>
      <c r="CC57" s="437"/>
      <c r="CD57" s="437"/>
      <c r="CE57" s="437"/>
      <c r="CF57" s="437"/>
      <c r="CG57" s="437"/>
      <c r="CH57" s="437"/>
      <c r="CI57" s="437"/>
      <c r="CJ57" s="437"/>
      <c r="CK57" s="437"/>
      <c r="CL57" s="437"/>
      <c r="CM57" s="437"/>
      <c r="CN57" s="437"/>
      <c r="CO57" s="437"/>
      <c r="CP57" s="437"/>
      <c r="CQ57" s="437"/>
      <c r="CR57" s="437"/>
      <c r="CS57" s="437"/>
      <c r="CT57" s="437"/>
      <c r="CU57" s="437"/>
      <c r="CV57" s="437"/>
      <c r="CW57" s="437"/>
      <c r="CX57" s="437"/>
      <c r="CY57" s="437"/>
      <c r="CZ57" s="437"/>
      <c r="DA57" s="437"/>
    </row>
    <row r="58" spans="2:105" s="362" customFormat="1" x14ac:dyDescent="0.2">
      <c r="B58" s="12"/>
      <c r="C58" s="12"/>
      <c r="D58" s="13"/>
      <c r="E58" s="12"/>
      <c r="F58" s="12"/>
      <c r="G58" s="13"/>
      <c r="H58" s="12"/>
      <c r="I58" s="437"/>
      <c r="J58" s="437"/>
      <c r="K58" s="437"/>
      <c r="L58" s="437"/>
      <c r="M58" s="437"/>
      <c r="N58" s="437"/>
      <c r="O58" s="437"/>
      <c r="P58" s="437"/>
      <c r="Q58" s="437"/>
      <c r="R58" s="437"/>
      <c r="S58" s="437"/>
      <c r="T58" s="437"/>
      <c r="U58" s="437"/>
      <c r="V58" s="437"/>
      <c r="W58" s="437"/>
      <c r="X58" s="437"/>
      <c r="Y58" s="437"/>
      <c r="Z58" s="437"/>
      <c r="AA58" s="437"/>
      <c r="AB58" s="437"/>
      <c r="AC58" s="437"/>
      <c r="AD58" s="437"/>
      <c r="AE58" s="437"/>
      <c r="AF58" s="437"/>
      <c r="AG58" s="437"/>
      <c r="AH58" s="437"/>
      <c r="AI58" s="437"/>
      <c r="AJ58" s="437"/>
      <c r="AK58" s="437"/>
      <c r="AL58" s="437"/>
      <c r="AM58" s="437"/>
      <c r="AN58" s="437"/>
      <c r="AO58" s="437"/>
      <c r="AP58" s="437"/>
      <c r="AQ58" s="437"/>
      <c r="AR58" s="437"/>
      <c r="AS58" s="437"/>
      <c r="AT58" s="437"/>
      <c r="AU58" s="437"/>
      <c r="AV58" s="437"/>
      <c r="AW58" s="437"/>
      <c r="AX58" s="437"/>
      <c r="AY58" s="437"/>
      <c r="AZ58" s="437"/>
      <c r="BA58" s="437"/>
      <c r="BB58" s="437"/>
      <c r="BC58" s="437"/>
      <c r="BD58" s="437"/>
      <c r="BE58" s="437"/>
      <c r="BF58" s="437"/>
      <c r="BG58" s="437"/>
      <c r="BH58" s="437"/>
      <c r="BI58" s="437"/>
      <c r="BJ58" s="437"/>
      <c r="BK58" s="437"/>
      <c r="BL58" s="437"/>
      <c r="BM58" s="437"/>
      <c r="BN58" s="437"/>
      <c r="BO58" s="437"/>
      <c r="BP58" s="437"/>
      <c r="BQ58" s="437"/>
      <c r="BR58" s="437"/>
      <c r="BS58" s="437"/>
      <c r="BT58" s="437"/>
      <c r="BU58" s="437"/>
      <c r="BV58" s="437"/>
      <c r="BW58" s="437"/>
      <c r="BX58" s="437"/>
      <c r="BY58" s="437"/>
      <c r="BZ58" s="437"/>
      <c r="CA58" s="437"/>
      <c r="CB58" s="437"/>
      <c r="CC58" s="437"/>
      <c r="CD58" s="437"/>
      <c r="CE58" s="437"/>
      <c r="CF58" s="437"/>
      <c r="CG58" s="437"/>
      <c r="CH58" s="437"/>
      <c r="CI58" s="437"/>
      <c r="CJ58" s="437"/>
      <c r="CK58" s="437"/>
      <c r="CL58" s="437"/>
      <c r="CM58" s="437"/>
      <c r="CN58" s="437"/>
      <c r="CO58" s="437"/>
      <c r="CP58" s="437"/>
      <c r="CQ58" s="437"/>
      <c r="CR58" s="437"/>
      <c r="CS58" s="437"/>
      <c r="CT58" s="437"/>
      <c r="CU58" s="437"/>
      <c r="CV58" s="437"/>
      <c r="CW58" s="437"/>
      <c r="CX58" s="437"/>
      <c r="CY58" s="437"/>
      <c r="CZ58" s="437"/>
      <c r="DA58" s="437"/>
    </row>
    <row r="59" spans="2:105" s="362" customFormat="1" x14ac:dyDescent="0.2">
      <c r="B59" s="12"/>
      <c r="C59" s="12"/>
      <c r="D59" s="13"/>
      <c r="E59" s="12"/>
      <c r="F59" s="12"/>
      <c r="G59" s="13"/>
      <c r="H59" s="12"/>
      <c r="I59" s="437"/>
      <c r="J59" s="437"/>
      <c r="K59" s="437"/>
      <c r="L59" s="437"/>
      <c r="M59" s="437"/>
      <c r="N59" s="437"/>
      <c r="O59" s="437"/>
      <c r="P59" s="437"/>
      <c r="Q59" s="437"/>
      <c r="R59" s="437"/>
      <c r="S59" s="437"/>
      <c r="T59" s="437"/>
      <c r="U59" s="437"/>
      <c r="V59" s="437"/>
      <c r="W59" s="437"/>
      <c r="X59" s="437"/>
      <c r="Y59" s="437"/>
      <c r="Z59" s="437"/>
      <c r="AA59" s="437"/>
      <c r="AB59" s="437"/>
      <c r="AC59" s="437"/>
      <c r="AD59" s="437"/>
      <c r="AE59" s="437"/>
      <c r="AF59" s="437"/>
      <c r="AG59" s="437"/>
      <c r="AH59" s="437"/>
      <c r="AI59" s="437"/>
      <c r="AJ59" s="437"/>
      <c r="AK59" s="437"/>
      <c r="AL59" s="437"/>
      <c r="AM59" s="437"/>
      <c r="AN59" s="437"/>
      <c r="AO59" s="437"/>
      <c r="AP59" s="437"/>
      <c r="AQ59" s="437"/>
      <c r="AR59" s="437"/>
      <c r="AS59" s="437"/>
      <c r="AT59" s="437"/>
      <c r="AU59" s="437"/>
      <c r="AV59" s="437"/>
      <c r="AW59" s="437"/>
      <c r="AX59" s="437"/>
      <c r="AY59" s="437"/>
      <c r="AZ59" s="437"/>
      <c r="BA59" s="437"/>
      <c r="BB59" s="437"/>
      <c r="BC59" s="437"/>
      <c r="BD59" s="437"/>
      <c r="BE59" s="437"/>
      <c r="BF59" s="437"/>
      <c r="BG59" s="437"/>
      <c r="BH59" s="437"/>
      <c r="BI59" s="437"/>
      <c r="BJ59" s="437"/>
      <c r="BK59" s="437"/>
      <c r="BL59" s="437"/>
      <c r="BM59" s="437"/>
      <c r="BN59" s="437"/>
      <c r="BO59" s="437"/>
      <c r="BP59" s="437"/>
      <c r="BQ59" s="437"/>
      <c r="BR59" s="437"/>
      <c r="BS59" s="437"/>
      <c r="BT59" s="437"/>
      <c r="BU59" s="437"/>
      <c r="BV59" s="437"/>
      <c r="BW59" s="437"/>
      <c r="BX59" s="437"/>
      <c r="BY59" s="437"/>
      <c r="BZ59" s="437"/>
      <c r="CA59" s="437"/>
      <c r="CB59" s="437"/>
      <c r="CC59" s="437"/>
      <c r="CD59" s="437"/>
      <c r="CE59" s="437"/>
      <c r="CF59" s="437"/>
      <c r="CG59" s="437"/>
      <c r="CH59" s="437"/>
      <c r="CI59" s="437"/>
      <c r="CJ59" s="437"/>
      <c r="CK59" s="437"/>
      <c r="CL59" s="437"/>
      <c r="CM59" s="437"/>
      <c r="CN59" s="437"/>
      <c r="CO59" s="437"/>
      <c r="CP59" s="437"/>
      <c r="CQ59" s="437"/>
      <c r="CR59" s="437"/>
      <c r="CS59" s="437"/>
      <c r="CT59" s="437"/>
      <c r="CU59" s="437"/>
      <c r="CV59" s="437"/>
      <c r="CW59" s="437"/>
      <c r="CX59" s="437"/>
      <c r="CY59" s="437"/>
      <c r="CZ59" s="437"/>
      <c r="DA59" s="437"/>
    </row>
    <row r="60" spans="2:105" s="362" customFormat="1" x14ac:dyDescent="0.2">
      <c r="B60" s="12"/>
      <c r="C60" s="12"/>
      <c r="D60" s="13"/>
      <c r="E60" s="12"/>
      <c r="F60" s="12"/>
      <c r="G60" s="13"/>
      <c r="H60" s="12"/>
      <c r="I60" s="437"/>
      <c r="J60" s="437"/>
      <c r="K60" s="437"/>
      <c r="L60" s="437"/>
      <c r="M60" s="437"/>
      <c r="N60" s="437"/>
      <c r="O60" s="437"/>
      <c r="P60" s="437"/>
      <c r="Q60" s="437"/>
      <c r="R60" s="437"/>
      <c r="S60" s="437"/>
      <c r="T60" s="437"/>
      <c r="U60" s="437"/>
      <c r="V60" s="437"/>
      <c r="W60" s="437"/>
      <c r="X60" s="437"/>
      <c r="Y60" s="437"/>
      <c r="Z60" s="437"/>
      <c r="AA60" s="437"/>
      <c r="AB60" s="437"/>
      <c r="AC60" s="437"/>
      <c r="AD60" s="437"/>
      <c r="AE60" s="437"/>
      <c r="AF60" s="437"/>
      <c r="AG60" s="437"/>
      <c r="AH60" s="437"/>
      <c r="AI60" s="437"/>
      <c r="AJ60" s="437"/>
      <c r="AK60" s="437"/>
      <c r="AL60" s="437"/>
      <c r="AM60" s="437"/>
      <c r="AN60" s="437"/>
      <c r="AO60" s="437"/>
      <c r="AP60" s="437"/>
      <c r="AQ60" s="437"/>
      <c r="AR60" s="437"/>
      <c r="AS60" s="437"/>
      <c r="AT60" s="437"/>
      <c r="AU60" s="437"/>
      <c r="AV60" s="437"/>
      <c r="AW60" s="437"/>
      <c r="AX60" s="437"/>
      <c r="AY60" s="437"/>
      <c r="AZ60" s="437"/>
      <c r="BA60" s="437"/>
      <c r="BB60" s="437"/>
      <c r="BC60" s="437"/>
      <c r="BD60" s="437"/>
      <c r="BE60" s="437"/>
      <c r="BF60" s="437"/>
      <c r="BG60" s="437"/>
      <c r="BH60" s="437"/>
      <c r="BI60" s="437"/>
      <c r="BJ60" s="437"/>
      <c r="BK60" s="437"/>
      <c r="BL60" s="437"/>
      <c r="BM60" s="437"/>
      <c r="BN60" s="437"/>
      <c r="BO60" s="437"/>
      <c r="BP60" s="437"/>
      <c r="BQ60" s="437"/>
      <c r="BR60" s="437"/>
      <c r="BS60" s="437"/>
      <c r="BT60" s="437"/>
      <c r="BU60" s="437"/>
      <c r="BV60" s="437"/>
      <c r="BW60" s="437"/>
      <c r="BX60" s="437"/>
      <c r="BY60" s="437"/>
      <c r="BZ60" s="437"/>
      <c r="CA60" s="437"/>
      <c r="CB60" s="437"/>
      <c r="CC60" s="437"/>
      <c r="CD60" s="437"/>
      <c r="CE60" s="437"/>
      <c r="CF60" s="437"/>
      <c r="CG60" s="437"/>
      <c r="CH60" s="437"/>
      <c r="CI60" s="437"/>
      <c r="CJ60" s="437"/>
      <c r="CK60" s="437"/>
      <c r="CL60" s="437"/>
      <c r="CM60" s="437"/>
      <c r="CN60" s="437"/>
      <c r="CO60" s="437"/>
      <c r="CP60" s="437"/>
      <c r="CQ60" s="437"/>
      <c r="CR60" s="437"/>
      <c r="CS60" s="437"/>
      <c r="CT60" s="437"/>
      <c r="CU60" s="437"/>
      <c r="CV60" s="437"/>
      <c r="CW60" s="437"/>
      <c r="CX60" s="437"/>
      <c r="CY60" s="437"/>
      <c r="CZ60" s="437"/>
      <c r="DA60" s="437"/>
    </row>
    <row r="61" spans="2:105" s="362" customFormat="1" x14ac:dyDescent="0.2">
      <c r="B61" s="12"/>
      <c r="C61" s="12"/>
      <c r="D61" s="13"/>
      <c r="E61" s="12"/>
      <c r="F61" s="12"/>
      <c r="G61" s="13"/>
      <c r="H61" s="12"/>
      <c r="I61" s="437"/>
      <c r="J61" s="437"/>
      <c r="K61" s="437"/>
      <c r="L61" s="437"/>
      <c r="M61" s="437"/>
      <c r="N61" s="437"/>
      <c r="O61" s="437"/>
      <c r="P61" s="437"/>
      <c r="Q61" s="437"/>
      <c r="R61" s="437"/>
      <c r="S61" s="437"/>
      <c r="T61" s="437"/>
      <c r="U61" s="437"/>
      <c r="V61" s="437"/>
      <c r="W61" s="437"/>
      <c r="X61" s="437"/>
      <c r="Y61" s="437"/>
      <c r="Z61" s="437"/>
      <c r="AA61" s="437"/>
      <c r="AB61" s="437"/>
      <c r="AC61" s="437"/>
      <c r="AD61" s="437"/>
      <c r="AE61" s="437"/>
      <c r="AF61" s="437"/>
      <c r="AG61" s="437"/>
      <c r="AH61" s="437"/>
      <c r="AI61" s="437"/>
      <c r="AJ61" s="437"/>
      <c r="AK61" s="437"/>
      <c r="AL61" s="437"/>
      <c r="AM61" s="437"/>
      <c r="AN61" s="437"/>
      <c r="AO61" s="437"/>
      <c r="AP61" s="437"/>
      <c r="AQ61" s="437"/>
      <c r="AR61" s="437"/>
      <c r="AS61" s="437"/>
      <c r="AT61" s="437"/>
      <c r="AU61" s="437"/>
      <c r="AV61" s="437"/>
      <c r="AW61" s="437"/>
      <c r="AX61" s="437"/>
      <c r="AY61" s="437"/>
      <c r="AZ61" s="437"/>
      <c r="BA61" s="437"/>
      <c r="BB61" s="437"/>
      <c r="BC61" s="437"/>
      <c r="BD61" s="437"/>
      <c r="BE61" s="437"/>
      <c r="BF61" s="437"/>
      <c r="BG61" s="437"/>
      <c r="BH61" s="437"/>
      <c r="BI61" s="437"/>
      <c r="BJ61" s="437"/>
      <c r="BK61" s="437"/>
      <c r="BL61" s="437"/>
      <c r="BM61" s="437"/>
      <c r="BN61" s="437"/>
      <c r="BO61" s="437"/>
      <c r="BP61" s="437"/>
      <c r="BQ61" s="437"/>
      <c r="BR61" s="437"/>
      <c r="BS61" s="437"/>
      <c r="BT61" s="437"/>
      <c r="BU61" s="437"/>
      <c r="BV61" s="437"/>
      <c r="BW61" s="437"/>
      <c r="BX61" s="437"/>
      <c r="BY61" s="437"/>
      <c r="BZ61" s="437"/>
      <c r="CA61" s="437"/>
      <c r="CB61" s="437"/>
      <c r="CC61" s="437"/>
      <c r="CD61" s="437"/>
      <c r="CE61" s="437"/>
      <c r="CF61" s="437"/>
      <c r="CG61" s="437"/>
      <c r="CH61" s="437"/>
      <c r="CI61" s="437"/>
      <c r="CJ61" s="437"/>
      <c r="CK61" s="437"/>
      <c r="CL61" s="437"/>
      <c r="CM61" s="437"/>
      <c r="CN61" s="437"/>
      <c r="CO61" s="437"/>
      <c r="CP61" s="437"/>
      <c r="CQ61" s="437"/>
      <c r="CR61" s="437"/>
      <c r="CS61" s="437"/>
      <c r="CT61" s="437"/>
      <c r="CU61" s="437"/>
      <c r="CV61" s="437"/>
      <c r="CW61" s="437"/>
      <c r="CX61" s="437"/>
      <c r="CY61" s="437"/>
      <c r="CZ61" s="437"/>
      <c r="DA61" s="437"/>
    </row>
    <row r="62" spans="2:105" s="362" customFormat="1" x14ac:dyDescent="0.2">
      <c r="B62" s="12"/>
      <c r="C62" s="12"/>
      <c r="D62" s="13"/>
      <c r="E62" s="12"/>
      <c r="F62" s="12"/>
      <c r="G62" s="13"/>
      <c r="H62" s="12"/>
      <c r="I62" s="437"/>
      <c r="J62" s="437"/>
      <c r="K62" s="437"/>
      <c r="L62" s="437"/>
      <c r="M62" s="437"/>
      <c r="N62" s="437"/>
      <c r="O62" s="437"/>
      <c r="P62" s="437"/>
      <c r="Q62" s="437"/>
      <c r="R62" s="437"/>
      <c r="S62" s="437"/>
      <c r="T62" s="437"/>
      <c r="U62" s="437"/>
      <c r="V62" s="437"/>
      <c r="W62" s="437"/>
      <c r="X62" s="437"/>
      <c r="Y62" s="437"/>
      <c r="Z62" s="437"/>
      <c r="AA62" s="437"/>
      <c r="AB62" s="437"/>
      <c r="AC62" s="437"/>
      <c r="AD62" s="437"/>
      <c r="AE62" s="437"/>
      <c r="AF62" s="437"/>
      <c r="AG62" s="437"/>
      <c r="AH62" s="437"/>
      <c r="AI62" s="437"/>
      <c r="AJ62" s="437"/>
      <c r="AK62" s="437"/>
      <c r="AL62" s="437"/>
      <c r="AM62" s="437"/>
      <c r="AN62" s="437"/>
      <c r="AO62" s="437"/>
      <c r="AP62" s="437"/>
      <c r="AQ62" s="437"/>
      <c r="AR62" s="437"/>
      <c r="AS62" s="437"/>
      <c r="AT62" s="437"/>
      <c r="AU62" s="437"/>
      <c r="AV62" s="437"/>
      <c r="AW62" s="437"/>
      <c r="AX62" s="437"/>
      <c r="AY62" s="437"/>
      <c r="AZ62" s="437"/>
      <c r="BA62" s="437"/>
      <c r="BB62" s="437"/>
      <c r="BC62" s="437"/>
      <c r="BD62" s="437"/>
      <c r="BE62" s="437"/>
      <c r="BF62" s="437"/>
      <c r="BG62" s="437"/>
      <c r="BH62" s="437"/>
      <c r="BI62" s="437"/>
      <c r="BJ62" s="437"/>
      <c r="BK62" s="437"/>
      <c r="BL62" s="437"/>
      <c r="BM62" s="437"/>
      <c r="BN62" s="437"/>
      <c r="BO62" s="437"/>
      <c r="BP62" s="437"/>
      <c r="BQ62" s="437"/>
      <c r="BR62" s="437"/>
      <c r="BS62" s="437"/>
      <c r="BT62" s="437"/>
      <c r="BU62" s="437"/>
      <c r="BV62" s="437"/>
      <c r="BW62" s="437"/>
      <c r="BX62" s="437"/>
      <c r="BY62" s="437"/>
      <c r="BZ62" s="437"/>
      <c r="CA62" s="437"/>
      <c r="CB62" s="437"/>
      <c r="CC62" s="437"/>
      <c r="CD62" s="437"/>
      <c r="CE62" s="437"/>
      <c r="CF62" s="437"/>
      <c r="CG62" s="437"/>
      <c r="CH62" s="437"/>
      <c r="CI62" s="437"/>
      <c r="CJ62" s="437"/>
      <c r="CK62" s="437"/>
      <c r="CL62" s="437"/>
      <c r="CM62" s="437"/>
      <c r="CN62" s="437"/>
      <c r="CO62" s="437"/>
      <c r="CP62" s="437"/>
      <c r="CQ62" s="437"/>
      <c r="CR62" s="437"/>
      <c r="CS62" s="437"/>
      <c r="CT62" s="437"/>
      <c r="CU62" s="437"/>
      <c r="CV62" s="437"/>
      <c r="CW62" s="437"/>
      <c r="CX62" s="437"/>
      <c r="CY62" s="437"/>
      <c r="CZ62" s="437"/>
      <c r="DA62" s="437"/>
    </row>
    <row r="63" spans="2:105" s="362" customFormat="1" x14ac:dyDescent="0.2">
      <c r="B63" s="12"/>
      <c r="C63" s="12"/>
      <c r="D63" s="13"/>
      <c r="E63" s="12"/>
      <c r="F63" s="12"/>
      <c r="G63" s="13"/>
      <c r="H63" s="12"/>
      <c r="I63" s="437"/>
      <c r="J63" s="437"/>
      <c r="K63" s="437"/>
      <c r="L63" s="437"/>
      <c r="M63" s="437"/>
      <c r="N63" s="437"/>
      <c r="O63" s="437"/>
      <c r="P63" s="437"/>
      <c r="Q63" s="437"/>
      <c r="R63" s="437"/>
      <c r="S63" s="437"/>
      <c r="T63" s="437"/>
      <c r="U63" s="437"/>
      <c r="V63" s="437"/>
      <c r="W63" s="437"/>
      <c r="X63" s="437"/>
      <c r="Y63" s="437"/>
      <c r="Z63" s="437"/>
      <c r="AA63" s="437"/>
      <c r="AB63" s="437"/>
      <c r="AC63" s="437"/>
      <c r="AD63" s="437"/>
      <c r="AE63" s="437"/>
      <c r="AF63" s="437"/>
      <c r="AG63" s="437"/>
      <c r="AH63" s="437"/>
      <c r="AI63" s="437"/>
      <c r="AJ63" s="437"/>
      <c r="AK63" s="437"/>
      <c r="AL63" s="437"/>
      <c r="AM63" s="437"/>
      <c r="AN63" s="437"/>
      <c r="AO63" s="437"/>
      <c r="AP63" s="437"/>
      <c r="AQ63" s="437"/>
      <c r="AR63" s="437"/>
      <c r="AS63" s="437"/>
      <c r="AT63" s="437"/>
      <c r="AU63" s="437"/>
      <c r="AV63" s="437"/>
      <c r="AW63" s="437"/>
      <c r="AX63" s="437"/>
      <c r="AY63" s="437"/>
      <c r="AZ63" s="437"/>
      <c r="BA63" s="437"/>
      <c r="BB63" s="437"/>
      <c r="BC63" s="437"/>
      <c r="BD63" s="437"/>
      <c r="BE63" s="437"/>
      <c r="BF63" s="437"/>
      <c r="BG63" s="437"/>
      <c r="BH63" s="437"/>
      <c r="BI63" s="437"/>
      <c r="BJ63" s="437"/>
      <c r="BK63" s="437"/>
      <c r="BL63" s="437"/>
      <c r="BM63" s="437"/>
      <c r="BN63" s="437"/>
      <c r="BO63" s="437"/>
      <c r="BP63" s="437"/>
      <c r="BQ63" s="437"/>
      <c r="BR63" s="437"/>
      <c r="BS63" s="437"/>
      <c r="BT63" s="437"/>
      <c r="BU63" s="437"/>
      <c r="BV63" s="437"/>
      <c r="BW63" s="437"/>
      <c r="BX63" s="437"/>
      <c r="BY63" s="437"/>
      <c r="BZ63" s="437"/>
      <c r="CA63" s="437"/>
      <c r="CB63" s="437"/>
      <c r="CC63" s="437"/>
      <c r="CD63" s="437"/>
      <c r="CE63" s="437"/>
      <c r="CF63" s="437"/>
      <c r="CG63" s="437"/>
      <c r="CH63" s="437"/>
      <c r="CI63" s="437"/>
      <c r="CJ63" s="437"/>
      <c r="CK63" s="437"/>
      <c r="CL63" s="437"/>
      <c r="CM63" s="437"/>
      <c r="CN63" s="437"/>
      <c r="CO63" s="437"/>
      <c r="CP63" s="437"/>
      <c r="CQ63" s="437"/>
      <c r="CR63" s="437"/>
      <c r="CS63" s="437"/>
      <c r="CT63" s="437"/>
      <c r="CU63" s="437"/>
      <c r="CV63" s="437"/>
      <c r="CW63" s="437"/>
      <c r="CX63" s="437"/>
      <c r="CY63" s="437"/>
      <c r="CZ63" s="437"/>
      <c r="DA63" s="437"/>
    </row>
    <row r="64" spans="2:105" s="362" customFormat="1" x14ac:dyDescent="0.2">
      <c r="B64" s="12"/>
      <c r="C64" s="12"/>
      <c r="D64" s="13"/>
      <c r="E64" s="12"/>
      <c r="F64" s="12"/>
      <c r="G64" s="13"/>
      <c r="H64" s="12"/>
      <c r="I64" s="437"/>
      <c r="J64" s="437"/>
      <c r="K64" s="437"/>
      <c r="L64" s="437"/>
      <c r="M64" s="437"/>
      <c r="N64" s="437"/>
      <c r="O64" s="437"/>
      <c r="P64" s="437"/>
      <c r="Q64" s="437"/>
      <c r="R64" s="437"/>
      <c r="S64" s="437"/>
      <c r="T64" s="437"/>
      <c r="U64" s="437"/>
      <c r="V64" s="437"/>
      <c r="W64" s="437"/>
      <c r="X64" s="437"/>
      <c r="Y64" s="437"/>
      <c r="Z64" s="437"/>
      <c r="AA64" s="437"/>
      <c r="AB64" s="437"/>
      <c r="AC64" s="437"/>
      <c r="AD64" s="437"/>
      <c r="AE64" s="437"/>
      <c r="AF64" s="437"/>
      <c r="AG64" s="437"/>
      <c r="AH64" s="437"/>
      <c r="AI64" s="437"/>
      <c r="AJ64" s="437"/>
      <c r="AK64" s="437"/>
      <c r="AL64" s="437"/>
      <c r="AM64" s="437"/>
      <c r="AN64" s="437"/>
      <c r="AO64" s="437"/>
      <c r="AP64" s="437"/>
      <c r="AQ64" s="437"/>
      <c r="AR64" s="437"/>
      <c r="AS64" s="437"/>
      <c r="AT64" s="437"/>
      <c r="AU64" s="437"/>
      <c r="AV64" s="437"/>
      <c r="AW64" s="437"/>
      <c r="AX64" s="437"/>
      <c r="AY64" s="437"/>
      <c r="AZ64" s="437"/>
      <c r="BA64" s="437"/>
      <c r="BB64" s="437"/>
      <c r="BC64" s="437"/>
      <c r="BD64" s="437"/>
      <c r="BE64" s="437"/>
      <c r="BF64" s="437"/>
      <c r="BG64" s="437"/>
      <c r="BH64" s="437"/>
      <c r="BI64" s="437"/>
      <c r="BJ64" s="437"/>
      <c r="BK64" s="437"/>
      <c r="BL64" s="437"/>
      <c r="BM64" s="437"/>
      <c r="BN64" s="437"/>
      <c r="BO64" s="437"/>
      <c r="BP64" s="437"/>
      <c r="BQ64" s="437"/>
      <c r="BR64" s="437"/>
      <c r="BS64" s="437"/>
      <c r="BT64" s="437"/>
      <c r="BU64" s="437"/>
      <c r="BV64" s="437"/>
      <c r="BW64" s="437"/>
      <c r="BX64" s="437"/>
      <c r="BY64" s="437"/>
      <c r="BZ64" s="437"/>
      <c r="CA64" s="437"/>
      <c r="CB64" s="437"/>
      <c r="CC64" s="437"/>
      <c r="CD64" s="437"/>
      <c r="CE64" s="437"/>
      <c r="CF64" s="437"/>
      <c r="CG64" s="437"/>
      <c r="CH64" s="437"/>
      <c r="CI64" s="437"/>
      <c r="CJ64" s="437"/>
      <c r="CK64" s="437"/>
      <c r="CL64" s="437"/>
      <c r="CM64" s="437"/>
      <c r="CN64" s="437"/>
      <c r="CO64" s="437"/>
      <c r="CP64" s="437"/>
      <c r="CQ64" s="437"/>
      <c r="CR64" s="437"/>
      <c r="CS64" s="437"/>
      <c r="CT64" s="437"/>
      <c r="CU64" s="437"/>
      <c r="CV64" s="437"/>
      <c r="CW64" s="437"/>
      <c r="CX64" s="437"/>
      <c r="CY64" s="437"/>
      <c r="CZ64" s="437"/>
      <c r="DA64" s="437"/>
    </row>
    <row r="65" spans="2:105" s="362" customFormat="1" x14ac:dyDescent="0.2">
      <c r="B65" s="12"/>
      <c r="C65" s="12"/>
      <c r="D65" s="13"/>
      <c r="E65" s="12"/>
      <c r="F65" s="12"/>
      <c r="G65" s="13"/>
      <c r="H65" s="12"/>
      <c r="I65" s="437"/>
      <c r="J65" s="437"/>
      <c r="K65" s="437"/>
      <c r="L65" s="437"/>
      <c r="M65" s="437"/>
      <c r="N65" s="437"/>
      <c r="O65" s="437"/>
      <c r="P65" s="437"/>
      <c r="Q65" s="437"/>
      <c r="R65" s="437"/>
      <c r="S65" s="437"/>
      <c r="T65" s="437"/>
      <c r="U65" s="437"/>
      <c r="V65" s="437"/>
      <c r="W65" s="437"/>
      <c r="X65" s="437"/>
      <c r="Y65" s="437"/>
      <c r="Z65" s="437"/>
      <c r="AA65" s="437"/>
      <c r="AB65" s="437"/>
      <c r="AC65" s="437"/>
      <c r="AD65" s="437"/>
      <c r="AE65" s="437"/>
      <c r="AF65" s="437"/>
      <c r="AG65" s="437"/>
      <c r="AH65" s="437"/>
      <c r="AI65" s="437"/>
      <c r="AJ65" s="437"/>
      <c r="AK65" s="437"/>
      <c r="AL65" s="437"/>
      <c r="AM65" s="437"/>
      <c r="AN65" s="437"/>
      <c r="AO65" s="437"/>
      <c r="AP65" s="437"/>
      <c r="AQ65" s="437"/>
      <c r="AR65" s="437"/>
      <c r="AS65" s="437"/>
      <c r="AT65" s="437"/>
      <c r="AU65" s="437"/>
      <c r="AV65" s="437"/>
      <c r="AW65" s="437"/>
      <c r="AX65" s="437"/>
      <c r="AY65" s="437"/>
      <c r="AZ65" s="437"/>
      <c r="BA65" s="437"/>
      <c r="BB65" s="437"/>
      <c r="BC65" s="437"/>
      <c r="BD65" s="437"/>
      <c r="BE65" s="437"/>
      <c r="BF65" s="437"/>
      <c r="BG65" s="437"/>
      <c r="BH65" s="437"/>
      <c r="BI65" s="437"/>
      <c r="BJ65" s="437"/>
      <c r="BK65" s="437"/>
      <c r="BL65" s="437"/>
      <c r="BM65" s="437"/>
      <c r="BN65" s="437"/>
      <c r="BO65" s="437"/>
      <c r="BP65" s="437"/>
      <c r="BQ65" s="437"/>
      <c r="BR65" s="437"/>
      <c r="BS65" s="437"/>
      <c r="BT65" s="437"/>
      <c r="BU65" s="437"/>
      <c r="BV65" s="437"/>
      <c r="BW65" s="437"/>
      <c r="BX65" s="437"/>
      <c r="BY65" s="437"/>
      <c r="BZ65" s="437"/>
      <c r="CA65" s="437"/>
      <c r="CB65" s="437"/>
      <c r="CC65" s="437"/>
      <c r="CD65" s="437"/>
      <c r="CE65" s="437"/>
      <c r="CF65" s="437"/>
      <c r="CG65" s="437"/>
      <c r="CH65" s="437"/>
      <c r="CI65" s="437"/>
      <c r="CJ65" s="437"/>
      <c r="CK65" s="437"/>
      <c r="CL65" s="437"/>
      <c r="CM65" s="437"/>
      <c r="CN65" s="437"/>
      <c r="CO65" s="437"/>
      <c r="CP65" s="437"/>
      <c r="CQ65" s="437"/>
      <c r="CR65" s="437"/>
      <c r="CS65" s="437"/>
      <c r="CT65" s="437"/>
      <c r="CU65" s="437"/>
      <c r="CV65" s="437"/>
      <c r="CW65" s="437"/>
      <c r="CX65" s="437"/>
      <c r="CY65" s="437"/>
      <c r="CZ65" s="437"/>
      <c r="DA65" s="437"/>
    </row>
    <row r="66" spans="2:105" s="362" customFormat="1" x14ac:dyDescent="0.2">
      <c r="B66" s="12"/>
      <c r="C66" s="12"/>
      <c r="D66" s="13"/>
      <c r="E66" s="12"/>
      <c r="F66" s="12"/>
      <c r="G66" s="13"/>
      <c r="H66" s="12"/>
      <c r="I66" s="437"/>
      <c r="J66" s="437"/>
      <c r="K66" s="437"/>
      <c r="L66" s="437"/>
      <c r="M66" s="437"/>
      <c r="N66" s="437"/>
      <c r="O66" s="437"/>
      <c r="P66" s="437"/>
      <c r="Q66" s="437"/>
      <c r="R66" s="437"/>
      <c r="S66" s="437"/>
      <c r="T66" s="437"/>
      <c r="U66" s="437"/>
      <c r="V66" s="437"/>
      <c r="W66" s="437"/>
      <c r="X66" s="437"/>
      <c r="Y66" s="437"/>
      <c r="Z66" s="437"/>
      <c r="AA66" s="437"/>
      <c r="AB66" s="437"/>
      <c r="AC66" s="437"/>
      <c r="AD66" s="437"/>
      <c r="AE66" s="437"/>
      <c r="AF66" s="437"/>
      <c r="AG66" s="437"/>
      <c r="AH66" s="437"/>
      <c r="AI66" s="437"/>
      <c r="AJ66" s="437"/>
      <c r="AK66" s="437"/>
      <c r="AL66" s="437"/>
      <c r="AM66" s="437"/>
      <c r="AN66" s="437"/>
      <c r="AO66" s="437"/>
      <c r="AP66" s="437"/>
      <c r="AQ66" s="437"/>
      <c r="AR66" s="437"/>
      <c r="AS66" s="437"/>
      <c r="AT66" s="437"/>
      <c r="AU66" s="437"/>
      <c r="AV66" s="437"/>
      <c r="AW66" s="437"/>
      <c r="AX66" s="437"/>
      <c r="AY66" s="437"/>
      <c r="AZ66" s="437"/>
      <c r="BA66" s="437"/>
      <c r="BB66" s="437"/>
      <c r="BC66" s="437"/>
      <c r="BD66" s="437"/>
      <c r="BE66" s="437"/>
      <c r="BF66" s="437"/>
      <c r="BG66" s="437"/>
      <c r="BH66" s="437"/>
      <c r="BI66" s="437"/>
      <c r="BJ66" s="437"/>
      <c r="BK66" s="437"/>
      <c r="BL66" s="437"/>
      <c r="BM66" s="437"/>
      <c r="BN66" s="437"/>
      <c r="BO66" s="437"/>
      <c r="BP66" s="437"/>
      <c r="BQ66" s="437"/>
      <c r="BR66" s="437"/>
      <c r="BS66" s="437"/>
      <c r="BT66" s="437"/>
      <c r="BU66" s="437"/>
      <c r="BV66" s="437"/>
      <c r="BW66" s="437"/>
      <c r="BX66" s="437"/>
      <c r="BY66" s="437"/>
      <c r="BZ66" s="437"/>
      <c r="CA66" s="437"/>
      <c r="CB66" s="437"/>
      <c r="CC66" s="437"/>
      <c r="CD66" s="437"/>
      <c r="CE66" s="437"/>
      <c r="CF66" s="437"/>
      <c r="CG66" s="437"/>
      <c r="CH66" s="437"/>
      <c r="CI66" s="437"/>
      <c r="CJ66" s="437"/>
      <c r="CK66" s="437"/>
      <c r="CL66" s="437"/>
      <c r="CM66" s="437"/>
      <c r="CN66" s="437"/>
      <c r="CO66" s="437"/>
      <c r="CP66" s="437"/>
      <c r="CQ66" s="437"/>
      <c r="CR66" s="437"/>
      <c r="CS66" s="437"/>
      <c r="CT66" s="437"/>
      <c r="CU66" s="437"/>
      <c r="CV66" s="437"/>
      <c r="CW66" s="437"/>
      <c r="CX66" s="437"/>
      <c r="CY66" s="437"/>
      <c r="CZ66" s="437"/>
      <c r="DA66" s="437"/>
    </row>
    <row r="67" spans="2:105" s="362" customFormat="1" x14ac:dyDescent="0.2">
      <c r="B67" s="12"/>
      <c r="C67" s="12"/>
      <c r="D67" s="13"/>
      <c r="E67" s="12"/>
      <c r="F67" s="12"/>
      <c r="G67" s="13"/>
      <c r="H67" s="12"/>
      <c r="I67" s="437"/>
      <c r="J67" s="437"/>
      <c r="K67" s="437"/>
      <c r="L67" s="437"/>
      <c r="M67" s="437"/>
      <c r="N67" s="437"/>
      <c r="O67" s="437"/>
      <c r="P67" s="437"/>
      <c r="Q67" s="437"/>
      <c r="R67" s="437"/>
      <c r="S67" s="437"/>
      <c r="T67" s="437"/>
      <c r="U67" s="437"/>
      <c r="V67" s="437"/>
      <c r="W67" s="437"/>
      <c r="X67" s="437"/>
      <c r="Y67" s="437"/>
      <c r="Z67" s="437"/>
      <c r="AA67" s="437"/>
      <c r="AB67" s="437"/>
      <c r="AC67" s="437"/>
      <c r="AD67" s="437"/>
      <c r="AE67" s="437"/>
      <c r="AF67" s="437"/>
      <c r="AG67" s="437"/>
      <c r="AH67" s="437"/>
      <c r="AI67" s="437"/>
      <c r="AJ67" s="437"/>
      <c r="AK67" s="437"/>
      <c r="AL67" s="437"/>
      <c r="AM67" s="437"/>
      <c r="AN67" s="437"/>
      <c r="AO67" s="437"/>
      <c r="AP67" s="437"/>
      <c r="AQ67" s="437"/>
      <c r="AR67" s="437"/>
      <c r="AS67" s="437"/>
      <c r="AT67" s="437"/>
      <c r="AU67" s="437"/>
      <c r="AV67" s="437"/>
      <c r="AW67" s="437"/>
      <c r="AX67" s="437"/>
      <c r="AY67" s="437"/>
      <c r="AZ67" s="437"/>
      <c r="BA67" s="437"/>
      <c r="BB67" s="437"/>
      <c r="BC67" s="437"/>
      <c r="BD67" s="437"/>
      <c r="BE67" s="437"/>
      <c r="BF67" s="437"/>
      <c r="BG67" s="437"/>
      <c r="BH67" s="437"/>
      <c r="BI67" s="437"/>
      <c r="BJ67" s="437"/>
      <c r="BK67" s="437"/>
      <c r="BL67" s="437"/>
      <c r="BM67" s="437"/>
      <c r="BN67" s="437"/>
      <c r="BO67" s="437"/>
      <c r="BP67" s="437"/>
      <c r="BQ67" s="437"/>
      <c r="BR67" s="437"/>
      <c r="BS67" s="437"/>
      <c r="BT67" s="437"/>
      <c r="BU67" s="437"/>
      <c r="BV67" s="437"/>
      <c r="BW67" s="437"/>
      <c r="BX67" s="437"/>
      <c r="BY67" s="437"/>
      <c r="BZ67" s="437"/>
      <c r="CA67" s="437"/>
      <c r="CB67" s="437"/>
      <c r="CC67" s="437"/>
      <c r="CD67" s="437"/>
      <c r="CE67" s="437"/>
      <c r="CF67" s="437"/>
      <c r="CG67" s="437"/>
      <c r="CH67" s="437"/>
      <c r="CI67" s="437"/>
      <c r="CJ67" s="437"/>
      <c r="CK67" s="437"/>
      <c r="CL67" s="437"/>
      <c r="CM67" s="437"/>
      <c r="CN67" s="437"/>
      <c r="CO67" s="437"/>
      <c r="CP67" s="437"/>
      <c r="CQ67" s="437"/>
      <c r="CR67" s="437"/>
      <c r="CS67" s="437"/>
      <c r="CT67" s="437"/>
      <c r="CU67" s="437"/>
      <c r="CV67" s="437"/>
      <c r="CW67" s="437"/>
      <c r="CX67" s="437"/>
      <c r="CY67" s="437"/>
      <c r="CZ67" s="437"/>
      <c r="DA67" s="437"/>
    </row>
    <row r="68" spans="2:105" s="362" customFormat="1" x14ac:dyDescent="0.2">
      <c r="B68" s="12"/>
      <c r="C68" s="12"/>
      <c r="D68" s="13"/>
      <c r="E68" s="12"/>
      <c r="F68" s="12"/>
      <c r="G68" s="13"/>
      <c r="H68" s="12"/>
      <c r="I68" s="437"/>
      <c r="J68" s="437"/>
      <c r="K68" s="437"/>
      <c r="L68" s="437"/>
      <c r="M68" s="437"/>
      <c r="N68" s="437"/>
      <c r="O68" s="437"/>
      <c r="P68" s="437"/>
      <c r="Q68" s="437"/>
      <c r="R68" s="437"/>
      <c r="S68" s="437"/>
      <c r="T68" s="437"/>
      <c r="U68" s="437"/>
      <c r="V68" s="437"/>
      <c r="W68" s="437"/>
      <c r="X68" s="437"/>
      <c r="Y68" s="437"/>
      <c r="Z68" s="437"/>
      <c r="AA68" s="437"/>
      <c r="AB68" s="437"/>
      <c r="AC68" s="437"/>
      <c r="AD68" s="437"/>
      <c r="AE68" s="437"/>
      <c r="AF68" s="437"/>
      <c r="AG68" s="437"/>
      <c r="AH68" s="437"/>
      <c r="AI68" s="437"/>
      <c r="AJ68" s="437"/>
      <c r="AK68" s="437"/>
      <c r="AL68" s="437"/>
      <c r="AM68" s="437"/>
      <c r="AN68" s="437"/>
      <c r="AO68" s="437"/>
      <c r="AP68" s="437"/>
      <c r="AQ68" s="437"/>
      <c r="AR68" s="437"/>
      <c r="AS68" s="437"/>
      <c r="AT68" s="437"/>
      <c r="AU68" s="437"/>
      <c r="AV68" s="437"/>
      <c r="AW68" s="437"/>
      <c r="AX68" s="437"/>
      <c r="AY68" s="437"/>
      <c r="AZ68" s="437"/>
      <c r="BA68" s="437"/>
      <c r="BB68" s="437"/>
      <c r="BC68" s="437"/>
      <c r="BD68" s="437"/>
      <c r="BE68" s="437"/>
      <c r="BF68" s="437"/>
      <c r="BG68" s="437"/>
      <c r="BH68" s="437"/>
      <c r="BI68" s="437"/>
      <c r="BJ68" s="437"/>
      <c r="BK68" s="437"/>
      <c r="BL68" s="437"/>
      <c r="BM68" s="437"/>
      <c r="BN68" s="437"/>
      <c r="BO68" s="437"/>
      <c r="BP68" s="437"/>
      <c r="BQ68" s="437"/>
      <c r="BR68" s="437"/>
      <c r="BS68" s="437"/>
      <c r="BT68" s="437"/>
      <c r="BU68" s="437"/>
      <c r="BV68" s="437"/>
      <c r="BW68" s="437"/>
      <c r="BX68" s="437"/>
      <c r="BY68" s="437"/>
      <c r="BZ68" s="437"/>
      <c r="CA68" s="437"/>
      <c r="CB68" s="437"/>
      <c r="CC68" s="437"/>
      <c r="CD68" s="437"/>
      <c r="CE68" s="437"/>
      <c r="CF68" s="437"/>
      <c r="CG68" s="437"/>
      <c r="CH68" s="437"/>
      <c r="CI68" s="437"/>
      <c r="CJ68" s="437"/>
      <c r="CK68" s="437"/>
      <c r="CL68" s="437"/>
      <c r="CM68" s="437"/>
      <c r="CN68" s="437"/>
      <c r="CO68" s="437"/>
      <c r="CP68" s="437"/>
      <c r="CQ68" s="437"/>
      <c r="CR68" s="437"/>
      <c r="CS68" s="437"/>
      <c r="CT68" s="437"/>
      <c r="CU68" s="437"/>
      <c r="CV68" s="437"/>
      <c r="CW68" s="437"/>
      <c r="CX68" s="437"/>
      <c r="CY68" s="437"/>
      <c r="CZ68" s="437"/>
      <c r="DA68" s="437"/>
    </row>
    <row r="69" spans="2:105" s="362" customFormat="1" x14ac:dyDescent="0.2">
      <c r="B69" s="12"/>
      <c r="C69" s="12"/>
      <c r="D69" s="13"/>
      <c r="E69" s="12"/>
      <c r="F69" s="12"/>
      <c r="G69" s="13"/>
      <c r="H69" s="12"/>
      <c r="I69" s="437"/>
      <c r="J69" s="437"/>
      <c r="K69" s="437"/>
      <c r="L69" s="437"/>
      <c r="M69" s="437"/>
      <c r="N69" s="437"/>
      <c r="O69" s="437"/>
      <c r="P69" s="437"/>
      <c r="Q69" s="437"/>
      <c r="R69" s="437"/>
      <c r="S69" s="437"/>
      <c r="T69" s="437"/>
      <c r="U69" s="437"/>
      <c r="V69" s="437"/>
      <c r="W69" s="437"/>
      <c r="X69" s="437"/>
      <c r="Y69" s="437"/>
      <c r="Z69" s="437"/>
      <c r="AA69" s="437"/>
      <c r="AB69" s="437"/>
      <c r="AC69" s="437"/>
      <c r="AD69" s="437"/>
      <c r="AE69" s="437"/>
      <c r="AF69" s="437"/>
      <c r="AG69" s="437"/>
      <c r="AH69" s="437"/>
      <c r="AI69" s="437"/>
      <c r="AJ69" s="437"/>
      <c r="AK69" s="437"/>
      <c r="AL69" s="437"/>
      <c r="AM69" s="437"/>
      <c r="AN69" s="437"/>
      <c r="AO69" s="437"/>
      <c r="AP69" s="437"/>
      <c r="AQ69" s="437"/>
      <c r="AR69" s="437"/>
      <c r="AS69" s="437"/>
      <c r="AT69" s="437"/>
      <c r="AU69" s="437"/>
      <c r="AV69" s="437"/>
      <c r="AW69" s="437"/>
      <c r="AX69" s="437"/>
      <c r="AY69" s="437"/>
      <c r="AZ69" s="437"/>
      <c r="BA69" s="437"/>
      <c r="BB69" s="437"/>
      <c r="BC69" s="437"/>
      <c r="BD69" s="437"/>
      <c r="BE69" s="437"/>
      <c r="BF69" s="437"/>
      <c r="BG69" s="437"/>
      <c r="BH69" s="437"/>
      <c r="BI69" s="437"/>
      <c r="BJ69" s="437"/>
      <c r="BK69" s="437"/>
      <c r="BL69" s="437"/>
      <c r="BM69" s="437"/>
      <c r="BN69" s="437"/>
      <c r="BO69" s="437"/>
      <c r="BP69" s="437"/>
      <c r="BQ69" s="437"/>
      <c r="BR69" s="437"/>
      <c r="BS69" s="437"/>
      <c r="BT69" s="437"/>
      <c r="BU69" s="437"/>
      <c r="BV69" s="437"/>
      <c r="BW69" s="437"/>
      <c r="BX69" s="437"/>
      <c r="BY69" s="437"/>
      <c r="BZ69" s="437"/>
      <c r="CA69" s="437"/>
      <c r="CB69" s="437"/>
      <c r="CC69" s="437"/>
      <c r="CD69" s="437"/>
      <c r="CE69" s="437"/>
      <c r="CF69" s="437"/>
      <c r="CG69" s="437"/>
      <c r="CH69" s="437"/>
      <c r="CI69" s="437"/>
      <c r="CJ69" s="437"/>
      <c r="CK69" s="437"/>
      <c r="CL69" s="437"/>
      <c r="CM69" s="437"/>
      <c r="CN69" s="437"/>
      <c r="CO69" s="437"/>
      <c r="CP69" s="437"/>
      <c r="CQ69" s="437"/>
      <c r="CR69" s="437"/>
      <c r="CS69" s="437"/>
      <c r="CT69" s="437"/>
      <c r="CU69" s="437"/>
      <c r="CV69" s="437"/>
      <c r="CW69" s="437"/>
      <c r="CX69" s="437"/>
      <c r="CY69" s="437"/>
      <c r="CZ69" s="437"/>
      <c r="DA69" s="437"/>
    </row>
    <row r="70" spans="2:105" s="362" customFormat="1" x14ac:dyDescent="0.2">
      <c r="B70" s="12"/>
      <c r="C70" s="12"/>
      <c r="D70" s="13"/>
      <c r="E70" s="12"/>
      <c r="F70" s="12"/>
      <c r="G70" s="13"/>
      <c r="H70" s="12"/>
      <c r="I70" s="437"/>
      <c r="J70" s="437"/>
      <c r="K70" s="437"/>
      <c r="L70" s="437"/>
      <c r="M70" s="437"/>
      <c r="N70" s="437"/>
      <c r="O70" s="437"/>
      <c r="P70" s="437"/>
      <c r="Q70" s="437"/>
      <c r="R70" s="437"/>
      <c r="S70" s="437"/>
      <c r="T70" s="437"/>
      <c r="U70" s="437"/>
      <c r="V70" s="437"/>
      <c r="W70" s="437"/>
      <c r="X70" s="437"/>
      <c r="Y70" s="437"/>
      <c r="Z70" s="437"/>
      <c r="AA70" s="437"/>
      <c r="AB70" s="437"/>
      <c r="AC70" s="437"/>
      <c r="AD70" s="437"/>
      <c r="AE70" s="437"/>
      <c r="AF70" s="437"/>
      <c r="AG70" s="437"/>
      <c r="AH70" s="437"/>
      <c r="AI70" s="437"/>
      <c r="AJ70" s="437"/>
      <c r="AK70" s="437"/>
      <c r="AL70" s="437"/>
      <c r="AM70" s="437"/>
      <c r="AN70" s="437"/>
      <c r="AO70" s="437"/>
      <c r="AP70" s="437"/>
      <c r="AQ70" s="437"/>
      <c r="AR70" s="437"/>
      <c r="AS70" s="437"/>
      <c r="AT70" s="437"/>
      <c r="AU70" s="437"/>
      <c r="AV70" s="437"/>
      <c r="AW70" s="437"/>
      <c r="AX70" s="437"/>
      <c r="AY70" s="437"/>
      <c r="AZ70" s="437"/>
      <c r="BA70" s="437"/>
      <c r="BB70" s="437"/>
      <c r="BC70" s="437"/>
      <c r="BD70" s="437"/>
      <c r="BE70" s="437"/>
      <c r="BF70" s="437"/>
      <c r="BG70" s="437"/>
      <c r="BH70" s="437"/>
      <c r="BI70" s="437"/>
      <c r="BJ70" s="437"/>
      <c r="BK70" s="437"/>
      <c r="BL70" s="437"/>
      <c r="BM70" s="437"/>
      <c r="BN70" s="437"/>
      <c r="BO70" s="437"/>
      <c r="BP70" s="437"/>
      <c r="BQ70" s="437"/>
      <c r="BR70" s="437"/>
      <c r="BS70" s="437"/>
      <c r="BT70" s="437"/>
      <c r="BU70" s="437"/>
      <c r="BV70" s="437"/>
      <c r="BW70" s="437"/>
      <c r="BX70" s="437"/>
      <c r="BY70" s="437"/>
      <c r="BZ70" s="437"/>
      <c r="CA70" s="437"/>
      <c r="CB70" s="437"/>
      <c r="CC70" s="437"/>
      <c r="CD70" s="437"/>
      <c r="CE70" s="437"/>
      <c r="CF70" s="437"/>
      <c r="CG70" s="437"/>
      <c r="CH70" s="437"/>
      <c r="CI70" s="437"/>
      <c r="CJ70" s="437"/>
      <c r="CK70" s="437"/>
      <c r="CL70" s="437"/>
      <c r="CM70" s="437"/>
      <c r="CN70" s="437"/>
      <c r="CO70" s="437"/>
      <c r="CP70" s="437"/>
      <c r="CQ70" s="437"/>
      <c r="CR70" s="437"/>
      <c r="CS70" s="437"/>
      <c r="CT70" s="437"/>
      <c r="CU70" s="437"/>
      <c r="CV70" s="437"/>
      <c r="CW70" s="437"/>
      <c r="CX70" s="437"/>
      <c r="CY70" s="437"/>
      <c r="CZ70" s="437"/>
      <c r="DA70" s="437"/>
    </row>
    <row r="71" spans="2:105" s="362" customFormat="1" x14ac:dyDescent="0.2">
      <c r="B71" s="12"/>
      <c r="C71" s="12"/>
      <c r="D71" s="13"/>
      <c r="E71" s="12"/>
      <c r="F71" s="12"/>
      <c r="G71" s="13"/>
      <c r="H71" s="12"/>
      <c r="I71" s="437"/>
      <c r="J71" s="437"/>
      <c r="K71" s="437"/>
      <c r="L71" s="437"/>
      <c r="M71" s="437"/>
      <c r="N71" s="437"/>
      <c r="O71" s="437"/>
      <c r="P71" s="437"/>
      <c r="Q71" s="437"/>
      <c r="R71" s="437"/>
      <c r="S71" s="437"/>
      <c r="T71" s="437"/>
      <c r="U71" s="437"/>
      <c r="V71" s="437"/>
      <c r="W71" s="437"/>
      <c r="X71" s="437"/>
      <c r="Y71" s="437"/>
      <c r="Z71" s="437"/>
      <c r="AA71" s="437"/>
      <c r="AB71" s="437"/>
      <c r="AC71" s="437"/>
      <c r="AD71" s="437"/>
      <c r="AE71" s="437"/>
      <c r="AF71" s="437"/>
      <c r="AG71" s="437"/>
      <c r="AH71" s="437"/>
      <c r="AI71" s="437"/>
      <c r="AJ71" s="437"/>
      <c r="AK71" s="437"/>
      <c r="AL71" s="437"/>
      <c r="AM71" s="437"/>
      <c r="AN71" s="437"/>
      <c r="AO71" s="437"/>
      <c r="AP71" s="437"/>
      <c r="AQ71" s="437"/>
      <c r="AR71" s="437"/>
      <c r="AS71" s="437"/>
      <c r="AT71" s="437"/>
      <c r="AU71" s="437"/>
      <c r="AV71" s="437"/>
      <c r="AW71" s="437"/>
      <c r="AX71" s="437"/>
      <c r="AY71" s="437"/>
      <c r="AZ71" s="437"/>
      <c r="BA71" s="437"/>
      <c r="BB71" s="437"/>
      <c r="BC71" s="437"/>
      <c r="BD71" s="437"/>
      <c r="BE71" s="437"/>
      <c r="BF71" s="437"/>
      <c r="BG71" s="437"/>
      <c r="BH71" s="437"/>
      <c r="BI71" s="437"/>
      <c r="BJ71" s="437"/>
      <c r="BK71" s="437"/>
      <c r="BL71" s="437"/>
      <c r="BM71" s="437"/>
      <c r="BN71" s="437"/>
      <c r="BO71" s="437"/>
      <c r="BP71" s="437"/>
      <c r="BQ71" s="437"/>
      <c r="BR71" s="437"/>
      <c r="BS71" s="437"/>
      <c r="BT71" s="437"/>
      <c r="BU71" s="437"/>
      <c r="BV71" s="437"/>
      <c r="BW71" s="437"/>
      <c r="BX71" s="437"/>
      <c r="BY71" s="437"/>
      <c r="BZ71" s="437"/>
      <c r="CA71" s="437"/>
      <c r="CB71" s="437"/>
      <c r="CC71" s="437"/>
      <c r="CD71" s="437"/>
      <c r="CE71" s="437"/>
      <c r="CF71" s="437"/>
      <c r="CG71" s="437"/>
      <c r="CH71" s="437"/>
      <c r="CI71" s="437"/>
      <c r="CJ71" s="437"/>
      <c r="CK71" s="437"/>
      <c r="CL71" s="437"/>
      <c r="CM71" s="437"/>
      <c r="CN71" s="437"/>
      <c r="CO71" s="437"/>
      <c r="CP71" s="437"/>
      <c r="CQ71" s="437"/>
      <c r="CR71" s="437"/>
      <c r="CS71" s="437"/>
      <c r="CT71" s="437"/>
      <c r="CU71" s="437"/>
      <c r="CV71" s="437"/>
      <c r="CW71" s="437"/>
      <c r="CX71" s="437"/>
      <c r="CY71" s="437"/>
      <c r="CZ71" s="437"/>
      <c r="DA71" s="437"/>
    </row>
    <row r="72" spans="2:105" s="362" customFormat="1" x14ac:dyDescent="0.2">
      <c r="B72" s="12"/>
      <c r="C72" s="12"/>
      <c r="D72" s="13"/>
      <c r="E72" s="12"/>
      <c r="F72" s="12"/>
      <c r="G72" s="13"/>
      <c r="H72" s="12"/>
      <c r="I72" s="437"/>
      <c r="J72" s="437"/>
      <c r="K72" s="437"/>
      <c r="L72" s="437"/>
      <c r="M72" s="437"/>
      <c r="N72" s="437"/>
      <c r="O72" s="437"/>
      <c r="P72" s="437"/>
      <c r="Q72" s="437"/>
      <c r="R72" s="437"/>
      <c r="S72" s="437"/>
      <c r="T72" s="437"/>
      <c r="U72" s="437"/>
      <c r="V72" s="437"/>
      <c r="W72" s="437"/>
      <c r="X72" s="437"/>
      <c r="Y72" s="437"/>
      <c r="Z72" s="437"/>
      <c r="AA72" s="437"/>
      <c r="AB72" s="437"/>
      <c r="AC72" s="437"/>
      <c r="AD72" s="437"/>
      <c r="AE72" s="437"/>
      <c r="AF72" s="437"/>
      <c r="AG72" s="437"/>
      <c r="AH72" s="437"/>
      <c r="AI72" s="437"/>
      <c r="AJ72" s="437"/>
      <c r="AK72" s="437"/>
      <c r="AL72" s="437"/>
      <c r="AM72" s="437"/>
      <c r="AN72" s="437"/>
      <c r="AO72" s="437"/>
      <c r="AP72" s="437"/>
      <c r="AQ72" s="437"/>
      <c r="AR72" s="437"/>
      <c r="AS72" s="437"/>
      <c r="AT72" s="437"/>
      <c r="AU72" s="437"/>
      <c r="AV72" s="437"/>
      <c r="AW72" s="437"/>
      <c r="AX72" s="437"/>
      <c r="AY72" s="437"/>
      <c r="AZ72" s="437"/>
      <c r="BA72" s="437"/>
      <c r="BB72" s="437"/>
      <c r="BC72" s="437"/>
      <c r="BD72" s="437"/>
      <c r="BE72" s="437"/>
      <c r="BF72" s="437"/>
      <c r="BG72" s="437"/>
      <c r="BH72" s="437"/>
      <c r="BI72" s="437"/>
      <c r="BJ72" s="437"/>
      <c r="BK72" s="437"/>
      <c r="BL72" s="437"/>
      <c r="BM72" s="437"/>
      <c r="BN72" s="437"/>
      <c r="BO72" s="437"/>
      <c r="BP72" s="437"/>
      <c r="BQ72" s="437"/>
      <c r="BR72" s="437"/>
      <c r="BS72" s="437"/>
      <c r="BT72" s="437"/>
      <c r="BU72" s="437"/>
      <c r="BV72" s="437"/>
      <c r="BW72" s="437"/>
      <c r="BX72" s="437"/>
      <c r="BY72" s="437"/>
      <c r="BZ72" s="437"/>
      <c r="CA72" s="437"/>
      <c r="CB72" s="437"/>
      <c r="CC72" s="437"/>
      <c r="CD72" s="437"/>
      <c r="CE72" s="437"/>
      <c r="CF72" s="437"/>
      <c r="CG72" s="437"/>
      <c r="CH72" s="437"/>
      <c r="CI72" s="437"/>
      <c r="CJ72" s="437"/>
      <c r="CK72" s="437"/>
      <c r="CL72" s="437"/>
      <c r="CM72" s="437"/>
      <c r="CN72" s="437"/>
      <c r="CO72" s="437"/>
      <c r="CP72" s="437"/>
      <c r="CQ72" s="437"/>
      <c r="CR72" s="437"/>
      <c r="CS72" s="437"/>
      <c r="CT72" s="437"/>
      <c r="CU72" s="437"/>
      <c r="CV72" s="437"/>
      <c r="CW72" s="437"/>
      <c r="CX72" s="437"/>
      <c r="CY72" s="437"/>
      <c r="CZ72" s="437"/>
      <c r="DA72" s="437"/>
    </row>
    <row r="73" spans="2:105" s="362" customFormat="1" x14ac:dyDescent="0.2">
      <c r="B73" s="12"/>
      <c r="C73" s="12"/>
      <c r="D73" s="13"/>
      <c r="E73" s="12"/>
      <c r="F73" s="12"/>
      <c r="G73" s="13"/>
      <c r="H73" s="12"/>
      <c r="I73" s="437"/>
      <c r="J73" s="437"/>
      <c r="K73" s="437"/>
      <c r="L73" s="437"/>
      <c r="M73" s="437"/>
      <c r="N73" s="437"/>
      <c r="O73" s="437"/>
      <c r="P73" s="437"/>
      <c r="Q73" s="437"/>
      <c r="R73" s="437"/>
      <c r="S73" s="437"/>
      <c r="T73" s="437"/>
      <c r="U73" s="437"/>
      <c r="V73" s="437"/>
      <c r="W73" s="437"/>
      <c r="X73" s="437"/>
      <c r="Y73" s="437"/>
      <c r="Z73" s="437"/>
      <c r="AA73" s="437"/>
      <c r="AB73" s="437"/>
      <c r="AC73" s="437"/>
      <c r="AD73" s="437"/>
      <c r="AE73" s="437"/>
      <c r="AF73" s="437"/>
      <c r="AG73" s="437"/>
      <c r="AH73" s="437"/>
      <c r="AI73" s="437"/>
      <c r="AJ73" s="437"/>
      <c r="AK73" s="437"/>
      <c r="AL73" s="437"/>
      <c r="AM73" s="437"/>
      <c r="AN73" s="437"/>
      <c r="AO73" s="437"/>
      <c r="AP73" s="437"/>
      <c r="AQ73" s="437"/>
      <c r="AR73" s="437"/>
      <c r="AS73" s="437"/>
      <c r="AT73" s="437"/>
      <c r="AU73" s="437"/>
      <c r="AV73" s="437"/>
      <c r="AW73" s="437"/>
      <c r="AX73" s="437"/>
      <c r="AY73" s="437"/>
      <c r="AZ73" s="437"/>
      <c r="BA73" s="437"/>
      <c r="BB73" s="437"/>
      <c r="BC73" s="437"/>
      <c r="BD73" s="437"/>
      <c r="BE73" s="437"/>
      <c r="BF73" s="437"/>
      <c r="BG73" s="437"/>
      <c r="BH73" s="437"/>
      <c r="BI73" s="437"/>
      <c r="BJ73" s="437"/>
      <c r="BK73" s="437"/>
      <c r="BL73" s="437"/>
      <c r="BM73" s="437"/>
      <c r="BN73" s="437"/>
      <c r="BO73" s="437"/>
      <c r="BP73" s="437"/>
      <c r="BQ73" s="437"/>
      <c r="BR73" s="437"/>
      <c r="BS73" s="437"/>
      <c r="BT73" s="437"/>
      <c r="BU73" s="437"/>
      <c r="BV73" s="437"/>
      <c r="BW73" s="437"/>
      <c r="BX73" s="437"/>
      <c r="BY73" s="437"/>
      <c r="BZ73" s="437"/>
      <c r="CA73" s="437"/>
      <c r="CB73" s="437"/>
      <c r="CC73" s="437"/>
      <c r="CD73" s="437"/>
      <c r="CE73" s="437"/>
      <c r="CF73" s="437"/>
      <c r="CG73" s="437"/>
      <c r="CH73" s="437"/>
      <c r="CI73" s="437"/>
      <c r="CJ73" s="437"/>
      <c r="CK73" s="437"/>
      <c r="CL73" s="437"/>
      <c r="CM73" s="437"/>
      <c r="CN73" s="437"/>
      <c r="CO73" s="437"/>
      <c r="CP73" s="437"/>
      <c r="CQ73" s="437"/>
      <c r="CR73" s="437"/>
      <c r="CS73" s="437"/>
      <c r="CT73" s="437"/>
      <c r="CU73" s="437"/>
      <c r="CV73" s="437"/>
      <c r="CW73" s="437"/>
      <c r="CX73" s="437"/>
      <c r="CY73" s="437"/>
      <c r="CZ73" s="437"/>
      <c r="DA73" s="437"/>
    </row>
    <row r="74" spans="2:105" s="362" customFormat="1" x14ac:dyDescent="0.2">
      <c r="B74" s="12"/>
      <c r="C74" s="12"/>
      <c r="D74" s="13"/>
      <c r="E74" s="12"/>
      <c r="F74" s="12"/>
      <c r="G74" s="13"/>
      <c r="H74" s="12"/>
      <c r="I74" s="437"/>
      <c r="J74" s="437"/>
      <c r="K74" s="437"/>
      <c r="L74" s="437"/>
      <c r="M74" s="437"/>
      <c r="N74" s="437"/>
      <c r="O74" s="437"/>
      <c r="P74" s="437"/>
      <c r="Q74" s="437"/>
      <c r="R74" s="437"/>
      <c r="S74" s="437"/>
      <c r="T74" s="437"/>
      <c r="U74" s="437"/>
      <c r="V74" s="437"/>
      <c r="W74" s="437"/>
      <c r="X74" s="437"/>
      <c r="Y74" s="437"/>
      <c r="Z74" s="437"/>
      <c r="AA74" s="437"/>
      <c r="AB74" s="437"/>
      <c r="AC74" s="437"/>
      <c r="AD74" s="437"/>
      <c r="AE74" s="437"/>
      <c r="AF74" s="437"/>
      <c r="AG74" s="437"/>
      <c r="AH74" s="437"/>
      <c r="AI74" s="437"/>
      <c r="AJ74" s="437"/>
      <c r="AK74" s="437"/>
      <c r="AL74" s="437"/>
      <c r="AM74" s="437"/>
      <c r="AN74" s="437"/>
      <c r="AO74" s="437"/>
      <c r="AP74" s="437"/>
      <c r="AQ74" s="437"/>
      <c r="AR74" s="437"/>
      <c r="AS74" s="437"/>
      <c r="AT74" s="437"/>
      <c r="AU74" s="437"/>
      <c r="AV74" s="437"/>
      <c r="AW74" s="437"/>
      <c r="AX74" s="437"/>
      <c r="AY74" s="437"/>
      <c r="AZ74" s="437"/>
      <c r="BA74" s="437"/>
      <c r="BB74" s="437"/>
      <c r="BC74" s="437"/>
      <c r="BD74" s="437"/>
      <c r="BE74" s="437"/>
      <c r="BF74" s="437"/>
      <c r="BG74" s="437"/>
      <c r="BH74" s="437"/>
      <c r="BI74" s="437"/>
      <c r="BJ74" s="437"/>
      <c r="BK74" s="437"/>
      <c r="BL74" s="437"/>
      <c r="BM74" s="437"/>
      <c r="BN74" s="437"/>
      <c r="BO74" s="437"/>
      <c r="BP74" s="437"/>
      <c r="BQ74" s="437"/>
      <c r="BR74" s="437"/>
      <c r="BS74" s="437"/>
      <c r="BT74" s="437"/>
      <c r="BU74" s="437"/>
      <c r="BV74" s="437"/>
      <c r="BW74" s="437"/>
      <c r="BX74" s="437"/>
      <c r="BY74" s="437"/>
      <c r="BZ74" s="437"/>
      <c r="CA74" s="437"/>
      <c r="CB74" s="437"/>
      <c r="CC74" s="437"/>
      <c r="CD74" s="437"/>
      <c r="CE74" s="437"/>
      <c r="CF74" s="437"/>
      <c r="CG74" s="437"/>
      <c r="CH74" s="437"/>
      <c r="CI74" s="437"/>
      <c r="CJ74" s="437"/>
      <c r="CK74" s="437"/>
      <c r="CL74" s="437"/>
      <c r="CM74" s="437"/>
      <c r="CN74" s="437"/>
      <c r="CO74" s="437"/>
      <c r="CP74" s="437"/>
      <c r="CQ74" s="437"/>
      <c r="CR74" s="437"/>
      <c r="CS74" s="437"/>
      <c r="CT74" s="437"/>
      <c r="CU74" s="437"/>
      <c r="CV74" s="437"/>
      <c r="CW74" s="437"/>
      <c r="CX74" s="437"/>
      <c r="CY74" s="437"/>
      <c r="CZ74" s="437"/>
      <c r="DA74" s="437"/>
    </row>
    <row r="75" spans="2:105" s="362" customFormat="1" x14ac:dyDescent="0.2">
      <c r="B75" s="12"/>
      <c r="C75" s="12"/>
      <c r="D75" s="13"/>
      <c r="E75" s="12"/>
      <c r="F75" s="12"/>
      <c r="G75" s="13"/>
      <c r="H75" s="12"/>
      <c r="I75" s="437"/>
      <c r="J75" s="437"/>
      <c r="K75" s="437"/>
      <c r="L75" s="437"/>
      <c r="M75" s="437"/>
      <c r="N75" s="437"/>
      <c r="O75" s="437"/>
      <c r="P75" s="437"/>
      <c r="Q75" s="437"/>
      <c r="R75" s="437"/>
      <c r="S75" s="437"/>
      <c r="T75" s="437"/>
      <c r="U75" s="437"/>
      <c r="V75" s="437"/>
      <c r="W75" s="437"/>
      <c r="X75" s="437"/>
      <c r="Y75" s="437"/>
      <c r="Z75" s="437"/>
      <c r="AA75" s="437"/>
      <c r="AB75" s="437"/>
      <c r="AC75" s="437"/>
      <c r="AD75" s="437"/>
      <c r="AE75" s="437"/>
      <c r="AF75" s="437"/>
      <c r="AG75" s="437"/>
      <c r="AH75" s="437"/>
      <c r="AI75" s="437"/>
      <c r="AJ75" s="437"/>
      <c r="AK75" s="437"/>
      <c r="AL75" s="437"/>
      <c r="AM75" s="437"/>
      <c r="AN75" s="437"/>
      <c r="AO75" s="437"/>
      <c r="AP75" s="437"/>
      <c r="AQ75" s="437"/>
      <c r="AR75" s="437"/>
      <c r="AS75" s="437"/>
      <c r="AT75" s="437"/>
      <c r="AU75" s="437"/>
      <c r="AV75" s="437"/>
      <c r="AW75" s="437"/>
      <c r="AX75" s="437"/>
      <c r="AY75" s="437"/>
      <c r="AZ75" s="437"/>
      <c r="BA75" s="437"/>
      <c r="BB75" s="437"/>
      <c r="BC75" s="437"/>
      <c r="BD75" s="437"/>
      <c r="BE75" s="437"/>
      <c r="BF75" s="437"/>
      <c r="BG75" s="437"/>
      <c r="BH75" s="437"/>
      <c r="BI75" s="437"/>
      <c r="BJ75" s="437"/>
      <c r="BK75" s="437"/>
      <c r="BL75" s="437"/>
      <c r="BM75" s="437"/>
      <c r="BN75" s="437"/>
      <c r="BO75" s="437"/>
      <c r="BP75" s="437"/>
      <c r="BQ75" s="437"/>
      <c r="BR75" s="437"/>
      <c r="BS75" s="437"/>
      <c r="BT75" s="437"/>
      <c r="BU75" s="437"/>
      <c r="BV75" s="437"/>
      <c r="BW75" s="437"/>
      <c r="BX75" s="437"/>
      <c r="BY75" s="437"/>
      <c r="BZ75" s="437"/>
      <c r="CA75" s="437"/>
      <c r="CB75" s="437"/>
      <c r="CC75" s="437"/>
      <c r="CD75" s="437"/>
      <c r="CE75" s="437"/>
      <c r="CF75" s="437"/>
      <c r="CG75" s="437"/>
      <c r="CH75" s="437"/>
      <c r="CI75" s="437"/>
      <c r="CJ75" s="437"/>
      <c r="CK75" s="437"/>
      <c r="CL75" s="437"/>
      <c r="CM75" s="437"/>
      <c r="CN75" s="437"/>
      <c r="CO75" s="437"/>
      <c r="CP75" s="437"/>
      <c r="CQ75" s="437"/>
      <c r="CR75" s="437"/>
      <c r="CS75" s="437"/>
      <c r="CT75" s="437"/>
      <c r="CU75" s="437"/>
      <c r="CV75" s="437"/>
      <c r="CW75" s="437"/>
      <c r="CX75" s="437"/>
      <c r="CY75" s="437"/>
      <c r="CZ75" s="437"/>
      <c r="DA75" s="437"/>
    </row>
    <row r="76" spans="2:105" s="362" customFormat="1" x14ac:dyDescent="0.2">
      <c r="B76" s="12"/>
      <c r="C76" s="12"/>
      <c r="D76" s="13"/>
      <c r="E76" s="12"/>
      <c r="F76" s="12"/>
      <c r="G76" s="13"/>
      <c r="H76" s="12"/>
      <c r="I76" s="437"/>
      <c r="J76" s="437"/>
      <c r="K76" s="437"/>
      <c r="L76" s="437"/>
      <c r="M76" s="437"/>
      <c r="N76" s="437"/>
      <c r="O76" s="437"/>
      <c r="P76" s="437"/>
      <c r="Q76" s="437"/>
      <c r="R76" s="437"/>
      <c r="S76" s="437"/>
      <c r="T76" s="437"/>
      <c r="U76" s="437"/>
      <c r="V76" s="437"/>
      <c r="W76" s="437"/>
      <c r="X76" s="437"/>
      <c r="Y76" s="437"/>
      <c r="Z76" s="437"/>
      <c r="AA76" s="437"/>
      <c r="AB76" s="437"/>
      <c r="AC76" s="437"/>
      <c r="AD76" s="437"/>
      <c r="AE76" s="437"/>
      <c r="AF76" s="437"/>
      <c r="AG76" s="437"/>
      <c r="AH76" s="437"/>
      <c r="AI76" s="437"/>
      <c r="AJ76" s="437"/>
      <c r="AK76" s="437"/>
      <c r="AL76" s="437"/>
      <c r="AM76" s="437"/>
      <c r="AN76" s="437"/>
      <c r="AO76" s="437"/>
      <c r="AP76" s="437"/>
      <c r="AQ76" s="437"/>
      <c r="AR76" s="437"/>
      <c r="AS76" s="437"/>
      <c r="AT76" s="437"/>
      <c r="AU76" s="437"/>
      <c r="AV76" s="437"/>
      <c r="AW76" s="437"/>
      <c r="AX76" s="437"/>
      <c r="AY76" s="437"/>
      <c r="AZ76" s="437"/>
      <c r="BA76" s="437"/>
      <c r="BB76" s="437"/>
      <c r="BC76" s="437"/>
      <c r="BD76" s="437"/>
      <c r="BE76" s="437"/>
      <c r="BF76" s="437"/>
      <c r="BG76" s="437"/>
      <c r="BH76" s="437"/>
      <c r="BI76" s="437"/>
      <c r="BJ76" s="437"/>
      <c r="BK76" s="437"/>
      <c r="BL76" s="437"/>
      <c r="BM76" s="437"/>
      <c r="BN76" s="437"/>
      <c r="BO76" s="437"/>
      <c r="BP76" s="437"/>
      <c r="BQ76" s="437"/>
      <c r="BR76" s="437"/>
      <c r="BS76" s="437"/>
      <c r="BT76" s="437"/>
      <c r="BU76" s="437"/>
      <c r="BV76" s="437"/>
      <c r="BW76" s="437"/>
      <c r="BX76" s="437"/>
      <c r="BY76" s="437"/>
      <c r="BZ76" s="437"/>
      <c r="CA76" s="437"/>
      <c r="CB76" s="437"/>
      <c r="CC76" s="437"/>
      <c r="CD76" s="437"/>
      <c r="CE76" s="437"/>
      <c r="CF76" s="437"/>
      <c r="CG76" s="437"/>
      <c r="CH76" s="437"/>
      <c r="CI76" s="437"/>
      <c r="CJ76" s="437"/>
      <c r="CK76" s="437"/>
      <c r="CL76" s="437"/>
      <c r="CM76" s="437"/>
      <c r="CN76" s="437"/>
      <c r="CO76" s="437"/>
      <c r="CP76" s="437"/>
      <c r="CQ76" s="437"/>
      <c r="CR76" s="437"/>
      <c r="CS76" s="437"/>
      <c r="CT76" s="437"/>
      <c r="CU76" s="437"/>
      <c r="CV76" s="437"/>
      <c r="CW76" s="437"/>
      <c r="CX76" s="437"/>
      <c r="CY76" s="437"/>
      <c r="CZ76" s="437"/>
      <c r="DA76" s="437"/>
    </row>
    <row r="77" spans="2:105" s="362" customFormat="1" x14ac:dyDescent="0.2">
      <c r="B77" s="12"/>
      <c r="C77" s="12"/>
      <c r="D77" s="13"/>
      <c r="E77" s="12"/>
      <c r="F77" s="12"/>
      <c r="G77" s="13"/>
      <c r="H77" s="12"/>
      <c r="I77" s="437"/>
      <c r="J77" s="437"/>
      <c r="K77" s="437"/>
      <c r="L77" s="437"/>
      <c r="M77" s="437"/>
      <c r="N77" s="437"/>
      <c r="O77" s="437"/>
      <c r="P77" s="437"/>
      <c r="Q77" s="437"/>
      <c r="R77" s="437"/>
      <c r="S77" s="437"/>
      <c r="T77" s="437"/>
      <c r="U77" s="437"/>
      <c r="V77" s="437"/>
      <c r="W77" s="437"/>
      <c r="X77" s="437"/>
      <c r="Y77" s="437"/>
      <c r="Z77" s="437"/>
      <c r="AA77" s="437"/>
      <c r="AB77" s="437"/>
      <c r="AC77" s="437"/>
      <c r="AD77" s="437"/>
      <c r="AE77" s="437"/>
      <c r="AF77" s="437"/>
      <c r="AG77" s="437"/>
      <c r="AH77" s="437"/>
      <c r="AI77" s="437"/>
      <c r="AJ77" s="437"/>
      <c r="AK77" s="437"/>
      <c r="AL77" s="437"/>
      <c r="AM77" s="437"/>
      <c r="AN77" s="437"/>
      <c r="AO77" s="437"/>
      <c r="AP77" s="437"/>
      <c r="AQ77" s="437"/>
      <c r="AR77" s="437"/>
      <c r="AS77" s="437"/>
      <c r="AT77" s="437"/>
      <c r="AU77" s="437"/>
      <c r="AV77" s="437"/>
      <c r="AW77" s="437"/>
      <c r="AX77" s="437"/>
      <c r="AY77" s="437"/>
      <c r="AZ77" s="437"/>
      <c r="BA77" s="437"/>
      <c r="BB77" s="437"/>
      <c r="BC77" s="437"/>
      <c r="BD77" s="437"/>
      <c r="BE77" s="437"/>
      <c r="BF77" s="437"/>
      <c r="BG77" s="437"/>
      <c r="BH77" s="437"/>
      <c r="BI77" s="437"/>
      <c r="BJ77" s="437"/>
      <c r="BK77" s="437"/>
      <c r="BL77" s="437"/>
      <c r="BM77" s="437"/>
      <c r="BN77" s="437"/>
      <c r="BO77" s="437"/>
      <c r="BP77" s="437"/>
      <c r="BQ77" s="437"/>
      <c r="BR77" s="437"/>
      <c r="BS77" s="437"/>
      <c r="BT77" s="437"/>
      <c r="BU77" s="437"/>
      <c r="BV77" s="437"/>
      <c r="BW77" s="437"/>
      <c r="BX77" s="437"/>
      <c r="BY77" s="437"/>
      <c r="BZ77" s="437"/>
      <c r="CA77" s="437"/>
      <c r="CB77" s="437"/>
      <c r="CC77" s="437"/>
      <c r="CD77" s="437"/>
      <c r="CE77" s="437"/>
      <c r="CF77" s="437"/>
      <c r="CG77" s="437"/>
      <c r="CH77" s="437"/>
      <c r="CI77" s="437"/>
      <c r="CJ77" s="437"/>
      <c r="CK77" s="437"/>
      <c r="CL77" s="437"/>
      <c r="CM77" s="437"/>
      <c r="CN77" s="437"/>
      <c r="CO77" s="437"/>
      <c r="CP77" s="437"/>
      <c r="CQ77" s="437"/>
      <c r="CR77" s="437"/>
      <c r="CS77" s="437"/>
      <c r="CT77" s="437"/>
      <c r="CU77" s="437"/>
      <c r="CV77" s="437"/>
      <c r="CW77" s="437"/>
      <c r="CX77" s="437"/>
      <c r="CY77" s="437"/>
      <c r="CZ77" s="437"/>
      <c r="DA77" s="437"/>
    </row>
    <row r="78" spans="2:105" s="362" customFormat="1" x14ac:dyDescent="0.2">
      <c r="B78" s="12"/>
      <c r="C78" s="12"/>
      <c r="D78" s="13"/>
      <c r="E78" s="12"/>
      <c r="F78" s="12"/>
      <c r="G78" s="13"/>
      <c r="H78" s="12"/>
      <c r="I78" s="437"/>
      <c r="J78" s="437"/>
      <c r="K78" s="437"/>
      <c r="L78" s="437"/>
      <c r="M78" s="437"/>
      <c r="N78" s="437"/>
      <c r="O78" s="437"/>
      <c r="P78" s="437"/>
      <c r="Q78" s="437"/>
      <c r="R78" s="437"/>
      <c r="S78" s="437"/>
      <c r="T78" s="437"/>
      <c r="U78" s="437"/>
      <c r="V78" s="437"/>
      <c r="W78" s="437"/>
      <c r="X78" s="437"/>
      <c r="Y78" s="437"/>
      <c r="Z78" s="437"/>
      <c r="AA78" s="437"/>
      <c r="AB78" s="437"/>
      <c r="AC78" s="437"/>
      <c r="AD78" s="437"/>
      <c r="AE78" s="437"/>
      <c r="AF78" s="437"/>
      <c r="AG78" s="437"/>
      <c r="AH78" s="437"/>
      <c r="AI78" s="437"/>
      <c r="AJ78" s="437"/>
      <c r="AK78" s="437"/>
      <c r="AL78" s="437"/>
      <c r="AM78" s="437"/>
      <c r="AN78" s="437"/>
      <c r="AO78" s="437"/>
      <c r="AP78" s="437"/>
      <c r="AQ78" s="437"/>
      <c r="AR78" s="437"/>
      <c r="AS78" s="437"/>
      <c r="AT78" s="437"/>
      <c r="AU78" s="437"/>
      <c r="AV78" s="437"/>
      <c r="AW78" s="437"/>
      <c r="AX78" s="437"/>
      <c r="AY78" s="437"/>
      <c r="AZ78" s="437"/>
      <c r="BA78" s="437"/>
      <c r="BB78" s="437"/>
      <c r="BC78" s="437"/>
      <c r="BD78" s="437"/>
      <c r="BE78" s="437"/>
      <c r="BF78" s="437"/>
      <c r="BG78" s="437"/>
      <c r="BH78" s="437"/>
      <c r="BI78" s="437"/>
      <c r="BJ78" s="437"/>
      <c r="BK78" s="437"/>
      <c r="BL78" s="437"/>
      <c r="BM78" s="437"/>
      <c r="BN78" s="437"/>
      <c r="BO78" s="437"/>
      <c r="BP78" s="437"/>
      <c r="BQ78" s="437"/>
      <c r="BR78" s="437"/>
      <c r="BS78" s="437"/>
      <c r="BT78" s="437"/>
      <c r="BU78" s="437"/>
      <c r="BV78" s="437"/>
      <c r="BW78" s="437"/>
      <c r="BX78" s="437"/>
      <c r="BY78" s="437"/>
      <c r="BZ78" s="437"/>
      <c r="CA78" s="437"/>
      <c r="CB78" s="437"/>
      <c r="CC78" s="437"/>
      <c r="CD78" s="437"/>
      <c r="CE78" s="437"/>
      <c r="CF78" s="437"/>
      <c r="CG78" s="437"/>
      <c r="CH78" s="437"/>
      <c r="CI78" s="437"/>
      <c r="CJ78" s="437"/>
      <c r="CK78" s="437"/>
      <c r="CL78" s="437"/>
      <c r="CM78" s="437"/>
      <c r="CN78" s="437"/>
      <c r="CO78" s="437"/>
      <c r="CP78" s="437"/>
      <c r="CQ78" s="437"/>
      <c r="CR78" s="437"/>
      <c r="CS78" s="437"/>
      <c r="CT78" s="437"/>
      <c r="CU78" s="437"/>
      <c r="CV78" s="437"/>
      <c r="CW78" s="437"/>
      <c r="CX78" s="437"/>
      <c r="CY78" s="437"/>
      <c r="CZ78" s="437"/>
      <c r="DA78" s="437"/>
    </row>
    <row r="79" spans="2:105" s="362" customFormat="1" x14ac:dyDescent="0.2">
      <c r="B79" s="12"/>
      <c r="C79" s="12"/>
      <c r="D79" s="13"/>
      <c r="E79" s="12"/>
      <c r="F79" s="12"/>
      <c r="G79" s="13"/>
      <c r="H79" s="12"/>
      <c r="I79" s="437"/>
      <c r="J79" s="437"/>
      <c r="K79" s="437"/>
      <c r="L79" s="437"/>
      <c r="M79" s="437"/>
      <c r="N79" s="437"/>
      <c r="O79" s="437"/>
      <c r="P79" s="437"/>
      <c r="Q79" s="437"/>
      <c r="R79" s="437"/>
      <c r="S79" s="437"/>
      <c r="T79" s="437"/>
      <c r="U79" s="437"/>
      <c r="V79" s="437"/>
      <c r="W79" s="437"/>
      <c r="X79" s="437"/>
      <c r="Y79" s="437"/>
      <c r="Z79" s="437"/>
      <c r="AA79" s="437"/>
      <c r="AB79" s="437"/>
      <c r="AC79" s="437"/>
      <c r="AD79" s="437"/>
      <c r="AE79" s="437"/>
      <c r="AF79" s="437"/>
      <c r="AG79" s="437"/>
      <c r="AH79" s="437"/>
      <c r="AI79" s="437"/>
      <c r="AJ79" s="437"/>
      <c r="AK79" s="437"/>
      <c r="AL79" s="437"/>
      <c r="AM79" s="437"/>
      <c r="AN79" s="437"/>
      <c r="AO79" s="437"/>
      <c r="AP79" s="437"/>
      <c r="AQ79" s="437"/>
      <c r="AR79" s="437"/>
      <c r="AS79" s="437"/>
      <c r="AT79" s="437"/>
      <c r="AU79" s="437"/>
      <c r="AV79" s="437"/>
      <c r="AW79" s="437"/>
      <c r="AX79" s="437"/>
      <c r="AY79" s="437"/>
      <c r="AZ79" s="437"/>
      <c r="BA79" s="437"/>
      <c r="BB79" s="437"/>
      <c r="BC79" s="437"/>
      <c r="BD79" s="437"/>
      <c r="BE79" s="437"/>
      <c r="BF79" s="437"/>
      <c r="BG79" s="437"/>
      <c r="BH79" s="437"/>
      <c r="BI79" s="437"/>
      <c r="BJ79" s="437"/>
      <c r="BK79" s="437"/>
      <c r="BL79" s="437"/>
      <c r="BM79" s="437"/>
      <c r="BN79" s="437"/>
      <c r="BO79" s="437"/>
      <c r="BP79" s="437"/>
      <c r="BQ79" s="437"/>
      <c r="BR79" s="437"/>
      <c r="BS79" s="437"/>
      <c r="BT79" s="437"/>
      <c r="BU79" s="437"/>
      <c r="BV79" s="437"/>
      <c r="BW79" s="437"/>
      <c r="BX79" s="437"/>
      <c r="BY79" s="437"/>
      <c r="BZ79" s="437"/>
      <c r="CA79" s="437"/>
      <c r="CB79" s="437"/>
      <c r="CC79" s="437"/>
      <c r="CD79" s="437"/>
      <c r="CE79" s="437"/>
      <c r="CF79" s="437"/>
      <c r="CG79" s="437"/>
      <c r="CH79" s="437"/>
      <c r="CI79" s="437"/>
      <c r="CJ79" s="437"/>
      <c r="CK79" s="437"/>
      <c r="CL79" s="437"/>
      <c r="CM79" s="437"/>
      <c r="CN79" s="437"/>
      <c r="CO79" s="437"/>
      <c r="CP79" s="437"/>
      <c r="CQ79" s="437"/>
      <c r="CR79" s="437"/>
      <c r="CS79" s="437"/>
      <c r="CT79" s="437"/>
      <c r="CU79" s="437"/>
      <c r="CV79" s="437"/>
      <c r="CW79" s="437"/>
      <c r="CX79" s="437"/>
      <c r="CY79" s="437"/>
      <c r="CZ79" s="437"/>
      <c r="DA79" s="437"/>
    </row>
    <row r="80" spans="2:105" s="362" customFormat="1" x14ac:dyDescent="0.2">
      <c r="B80" s="12"/>
      <c r="C80" s="12"/>
      <c r="D80" s="13"/>
      <c r="E80" s="12"/>
      <c r="F80" s="12"/>
      <c r="G80" s="13"/>
      <c r="H80" s="12"/>
      <c r="I80" s="437"/>
      <c r="J80" s="437"/>
      <c r="K80" s="437"/>
      <c r="L80" s="437"/>
      <c r="M80" s="437"/>
      <c r="N80" s="437"/>
      <c r="O80" s="437"/>
      <c r="P80" s="437"/>
      <c r="Q80" s="437"/>
      <c r="R80" s="437"/>
      <c r="S80" s="437"/>
      <c r="T80" s="437"/>
      <c r="U80" s="437"/>
      <c r="V80" s="437"/>
      <c r="W80" s="437"/>
      <c r="X80" s="437"/>
      <c r="Y80" s="437"/>
      <c r="Z80" s="437"/>
      <c r="AA80" s="437"/>
      <c r="AB80" s="437"/>
      <c r="AC80" s="437"/>
      <c r="AD80" s="437"/>
      <c r="AE80" s="437"/>
      <c r="AF80" s="437"/>
      <c r="AG80" s="437"/>
      <c r="AH80" s="437"/>
      <c r="AI80" s="437"/>
      <c r="AJ80" s="437"/>
      <c r="AK80" s="437"/>
      <c r="AL80" s="437"/>
      <c r="AM80" s="437"/>
      <c r="AN80" s="437"/>
      <c r="AO80" s="437"/>
      <c r="AP80" s="437"/>
      <c r="AQ80" s="437"/>
      <c r="AR80" s="437"/>
      <c r="AS80" s="437"/>
      <c r="AT80" s="437"/>
      <c r="AU80" s="437"/>
      <c r="AV80" s="437"/>
      <c r="AW80" s="437"/>
      <c r="AX80" s="437"/>
      <c r="AY80" s="437"/>
      <c r="AZ80" s="437"/>
      <c r="BA80" s="437"/>
      <c r="BB80" s="437"/>
      <c r="BC80" s="437"/>
      <c r="BD80" s="437"/>
      <c r="BE80" s="437"/>
      <c r="BF80" s="437"/>
      <c r="BG80" s="437"/>
      <c r="BH80" s="437"/>
      <c r="BI80" s="437"/>
      <c r="BJ80" s="437"/>
      <c r="BK80" s="437"/>
      <c r="BL80" s="437"/>
      <c r="BM80" s="437"/>
      <c r="BN80" s="437"/>
      <c r="BO80" s="437"/>
      <c r="BP80" s="437"/>
      <c r="BQ80" s="437"/>
      <c r="BR80" s="437"/>
      <c r="BS80" s="437"/>
      <c r="BT80" s="437"/>
      <c r="BU80" s="437"/>
      <c r="BV80" s="437"/>
      <c r="BW80" s="437"/>
      <c r="BX80" s="437"/>
      <c r="BY80" s="437"/>
      <c r="BZ80" s="437"/>
      <c r="CA80" s="437"/>
      <c r="CB80" s="437"/>
      <c r="CC80" s="437"/>
      <c r="CD80" s="437"/>
      <c r="CE80" s="437"/>
      <c r="CF80" s="437"/>
      <c r="CG80" s="437"/>
      <c r="CH80" s="437"/>
      <c r="CI80" s="437"/>
      <c r="CJ80" s="437"/>
      <c r="CK80" s="437"/>
      <c r="CL80" s="437"/>
      <c r="CM80" s="437"/>
      <c r="CN80" s="437"/>
      <c r="CO80" s="437"/>
      <c r="CP80" s="437"/>
      <c r="CQ80" s="437"/>
      <c r="CR80" s="437"/>
      <c r="CS80" s="437"/>
      <c r="CT80" s="437"/>
      <c r="CU80" s="437"/>
      <c r="CV80" s="437"/>
      <c r="CW80" s="437"/>
      <c r="CX80" s="437"/>
      <c r="CY80" s="437"/>
      <c r="CZ80" s="437"/>
      <c r="DA80" s="437"/>
    </row>
    <row r="81" spans="2:105" s="362" customFormat="1" x14ac:dyDescent="0.2">
      <c r="B81" s="12"/>
      <c r="C81" s="12"/>
      <c r="D81" s="13"/>
      <c r="E81" s="12"/>
      <c r="F81" s="12"/>
      <c r="G81" s="13"/>
      <c r="H81" s="12"/>
      <c r="I81" s="437"/>
      <c r="J81" s="437"/>
      <c r="K81" s="437"/>
      <c r="L81" s="437"/>
      <c r="M81" s="437"/>
      <c r="N81" s="437"/>
      <c r="O81" s="437"/>
      <c r="P81" s="437"/>
      <c r="Q81" s="437"/>
      <c r="R81" s="437"/>
      <c r="S81" s="437"/>
      <c r="T81" s="437"/>
      <c r="U81" s="437"/>
      <c r="V81" s="437"/>
      <c r="W81" s="437"/>
      <c r="X81" s="437"/>
      <c r="Y81" s="437"/>
      <c r="Z81" s="437"/>
      <c r="AA81" s="437"/>
      <c r="AB81" s="437"/>
      <c r="AC81" s="437"/>
      <c r="AD81" s="437"/>
      <c r="AE81" s="437"/>
      <c r="AF81" s="437"/>
      <c r="AG81" s="437"/>
      <c r="AH81" s="437"/>
      <c r="AI81" s="437"/>
      <c r="AJ81" s="437"/>
      <c r="AK81" s="437"/>
      <c r="AL81" s="437"/>
      <c r="AM81" s="437"/>
      <c r="AN81" s="437"/>
      <c r="AO81" s="437"/>
      <c r="AP81" s="437"/>
      <c r="AQ81" s="437"/>
      <c r="AR81" s="437"/>
      <c r="AS81" s="437"/>
      <c r="AT81" s="437"/>
      <c r="AU81" s="437"/>
      <c r="AV81" s="437"/>
      <c r="AW81" s="437"/>
      <c r="AX81" s="437"/>
      <c r="AY81" s="437"/>
      <c r="AZ81" s="437"/>
      <c r="BA81" s="437"/>
      <c r="BB81" s="437"/>
      <c r="BC81" s="437"/>
      <c r="BD81" s="437"/>
      <c r="BE81" s="437"/>
      <c r="BF81" s="437"/>
      <c r="BG81" s="437"/>
      <c r="BH81" s="437"/>
      <c r="BI81" s="437"/>
      <c r="BJ81" s="437"/>
      <c r="BK81" s="437"/>
      <c r="BL81" s="437"/>
      <c r="BM81" s="437"/>
      <c r="BN81" s="437"/>
      <c r="BO81" s="437"/>
      <c r="BP81" s="437"/>
      <c r="BQ81" s="437"/>
      <c r="BR81" s="437"/>
      <c r="BS81" s="437"/>
      <c r="BT81" s="437"/>
      <c r="BU81" s="437"/>
      <c r="BV81" s="437"/>
      <c r="BW81" s="437"/>
      <c r="BX81" s="437"/>
      <c r="BY81" s="437"/>
      <c r="BZ81" s="437"/>
      <c r="CA81" s="437"/>
      <c r="CB81" s="437"/>
      <c r="CC81" s="437"/>
      <c r="CD81" s="437"/>
      <c r="CE81" s="437"/>
      <c r="CF81" s="437"/>
      <c r="CG81" s="437"/>
      <c r="CH81" s="437"/>
      <c r="CI81" s="437"/>
      <c r="CJ81" s="437"/>
      <c r="CK81" s="437"/>
      <c r="CL81" s="437"/>
      <c r="CM81" s="437"/>
      <c r="CN81" s="437"/>
      <c r="CO81" s="437"/>
      <c r="CP81" s="437"/>
      <c r="CQ81" s="437"/>
      <c r="CR81" s="437"/>
      <c r="CS81" s="437"/>
      <c r="CT81" s="437"/>
      <c r="CU81" s="437"/>
      <c r="CV81" s="437"/>
      <c r="CW81" s="437"/>
      <c r="CX81" s="437"/>
      <c r="CY81" s="437"/>
      <c r="CZ81" s="437"/>
      <c r="DA81" s="437"/>
    </row>
    <row r="82" spans="2:105" s="362" customFormat="1" x14ac:dyDescent="0.2">
      <c r="B82" s="12"/>
      <c r="C82" s="12"/>
      <c r="D82" s="13"/>
      <c r="E82" s="12"/>
      <c r="F82" s="12"/>
      <c r="G82" s="13"/>
      <c r="H82" s="12"/>
      <c r="I82" s="437"/>
      <c r="J82" s="437"/>
      <c r="K82" s="437"/>
      <c r="L82" s="437"/>
      <c r="M82" s="437"/>
      <c r="N82" s="437"/>
      <c r="O82" s="437"/>
      <c r="P82" s="437"/>
      <c r="Q82" s="437"/>
      <c r="R82" s="437"/>
      <c r="S82" s="437"/>
      <c r="T82" s="437"/>
      <c r="U82" s="437"/>
      <c r="V82" s="437"/>
      <c r="W82" s="437"/>
      <c r="X82" s="437"/>
      <c r="Y82" s="437"/>
      <c r="Z82" s="437"/>
      <c r="AA82" s="437"/>
      <c r="AB82" s="437"/>
      <c r="AC82" s="437"/>
      <c r="AD82" s="437"/>
      <c r="AE82" s="437"/>
      <c r="AF82" s="437"/>
      <c r="AG82" s="437"/>
      <c r="AH82" s="437"/>
      <c r="AI82" s="437"/>
      <c r="AJ82" s="437"/>
      <c r="AK82" s="437"/>
      <c r="AL82" s="437"/>
      <c r="AM82" s="437"/>
      <c r="AN82" s="437"/>
      <c r="AO82" s="437"/>
      <c r="AP82" s="437"/>
      <c r="AQ82" s="437"/>
      <c r="AR82" s="437"/>
      <c r="AS82" s="437"/>
      <c r="AT82" s="437"/>
      <c r="AU82" s="437"/>
      <c r="AV82" s="437"/>
      <c r="AW82" s="437"/>
      <c r="AX82" s="437"/>
      <c r="AY82" s="437"/>
      <c r="AZ82" s="437"/>
      <c r="BA82" s="437"/>
      <c r="BB82" s="437"/>
      <c r="BC82" s="437"/>
      <c r="BD82" s="437"/>
      <c r="BE82" s="437"/>
      <c r="BF82" s="437"/>
      <c r="BG82" s="437"/>
      <c r="BH82" s="437"/>
      <c r="BI82" s="437"/>
      <c r="BJ82" s="437"/>
      <c r="BK82" s="437"/>
      <c r="BL82" s="437"/>
      <c r="BM82" s="437"/>
      <c r="BN82" s="437"/>
      <c r="BO82" s="437"/>
      <c r="BP82" s="437"/>
      <c r="BQ82" s="437"/>
      <c r="BR82" s="437"/>
      <c r="BS82" s="437"/>
      <c r="BT82" s="437"/>
      <c r="BU82" s="437"/>
      <c r="BV82" s="437"/>
      <c r="BW82" s="437"/>
      <c r="BX82" s="437"/>
      <c r="BY82" s="437"/>
      <c r="BZ82" s="437"/>
      <c r="CA82" s="437"/>
      <c r="CB82" s="437"/>
      <c r="CC82" s="437"/>
      <c r="CD82" s="437"/>
      <c r="CE82" s="437"/>
      <c r="CF82" s="437"/>
      <c r="CG82" s="437"/>
      <c r="CH82" s="437"/>
      <c r="CI82" s="437"/>
      <c r="CJ82" s="437"/>
      <c r="CK82" s="437"/>
      <c r="CL82" s="437"/>
      <c r="CM82" s="437"/>
      <c r="CN82" s="437"/>
      <c r="CO82" s="437"/>
      <c r="CP82" s="437"/>
      <c r="CQ82" s="437"/>
      <c r="CR82" s="437"/>
      <c r="CS82" s="437"/>
      <c r="CT82" s="437"/>
      <c r="CU82" s="437"/>
      <c r="CV82" s="437"/>
      <c r="CW82" s="437"/>
      <c r="CX82" s="437"/>
      <c r="CY82" s="437"/>
      <c r="CZ82" s="437"/>
      <c r="DA82" s="437"/>
    </row>
    <row r="83" spans="2:105" s="362" customFormat="1" x14ac:dyDescent="0.2">
      <c r="B83" s="12"/>
      <c r="C83" s="12"/>
      <c r="D83" s="13"/>
      <c r="E83" s="12"/>
      <c r="F83" s="12"/>
      <c r="G83" s="13"/>
      <c r="H83" s="12"/>
      <c r="I83" s="437"/>
      <c r="J83" s="437"/>
      <c r="K83" s="437"/>
      <c r="L83" s="437"/>
      <c r="M83" s="437"/>
      <c r="N83" s="437"/>
      <c r="O83" s="437"/>
      <c r="P83" s="437"/>
      <c r="Q83" s="437"/>
      <c r="R83" s="437"/>
      <c r="S83" s="437"/>
      <c r="T83" s="437"/>
      <c r="U83" s="437"/>
      <c r="V83" s="437"/>
      <c r="W83" s="437"/>
      <c r="X83" s="437"/>
      <c r="Y83" s="437"/>
      <c r="Z83" s="437"/>
      <c r="AA83" s="437"/>
      <c r="AB83" s="437"/>
      <c r="AC83" s="437"/>
      <c r="AD83" s="437"/>
      <c r="AE83" s="437"/>
      <c r="AF83" s="437"/>
      <c r="AG83" s="437"/>
      <c r="AH83" s="437"/>
      <c r="AI83" s="437"/>
      <c r="AJ83" s="437"/>
      <c r="AK83" s="437"/>
      <c r="AL83" s="437"/>
      <c r="AM83" s="437"/>
      <c r="AN83" s="437"/>
      <c r="AO83" s="437"/>
      <c r="AP83" s="437"/>
      <c r="AQ83" s="437"/>
      <c r="AR83" s="437"/>
      <c r="AS83" s="437"/>
      <c r="AT83" s="437"/>
      <c r="AU83" s="437"/>
      <c r="AV83" s="437"/>
      <c r="AW83" s="437"/>
      <c r="AX83" s="437"/>
      <c r="AY83" s="437"/>
      <c r="AZ83" s="437"/>
      <c r="BA83" s="437"/>
      <c r="BB83" s="437"/>
      <c r="BC83" s="437"/>
      <c r="BD83" s="437"/>
      <c r="BE83" s="437"/>
      <c r="BF83" s="437"/>
      <c r="BG83" s="437"/>
      <c r="BH83" s="437"/>
      <c r="BI83" s="437"/>
      <c r="BJ83" s="437"/>
      <c r="BK83" s="437"/>
      <c r="BL83" s="437"/>
      <c r="BM83" s="437"/>
      <c r="BN83" s="437"/>
      <c r="BO83" s="437"/>
      <c r="BP83" s="437"/>
      <c r="BQ83" s="437"/>
      <c r="BR83" s="437"/>
      <c r="BS83" s="437"/>
      <c r="BT83" s="437"/>
      <c r="BU83" s="437"/>
      <c r="BV83" s="437"/>
      <c r="BW83" s="437"/>
      <c r="BX83" s="437"/>
      <c r="BY83" s="437"/>
      <c r="BZ83" s="437"/>
      <c r="CA83" s="437"/>
      <c r="CB83" s="437"/>
      <c r="CC83" s="437"/>
      <c r="CD83" s="437"/>
      <c r="CE83" s="437"/>
      <c r="CF83" s="437"/>
      <c r="CG83" s="437"/>
      <c r="CH83" s="437"/>
      <c r="CI83" s="437"/>
      <c r="CJ83" s="437"/>
      <c r="CK83" s="437"/>
      <c r="CL83" s="437"/>
      <c r="CM83" s="437"/>
      <c r="CN83" s="437"/>
      <c r="CO83" s="437"/>
      <c r="CP83" s="437"/>
      <c r="CQ83" s="437"/>
      <c r="CR83" s="437"/>
      <c r="CS83" s="437"/>
      <c r="CT83" s="437"/>
      <c r="CU83" s="437"/>
      <c r="CV83" s="437"/>
      <c r="CW83" s="437"/>
      <c r="CX83" s="437"/>
      <c r="CY83" s="437"/>
      <c r="CZ83" s="437"/>
      <c r="DA83" s="437"/>
    </row>
    <row r="84" spans="2:105" s="362" customFormat="1" x14ac:dyDescent="0.2">
      <c r="B84" s="12"/>
      <c r="C84" s="12"/>
      <c r="D84" s="13"/>
      <c r="E84" s="12"/>
      <c r="F84" s="12"/>
      <c r="G84" s="13"/>
      <c r="H84" s="12"/>
      <c r="I84" s="437"/>
      <c r="J84" s="437"/>
      <c r="K84" s="437"/>
      <c r="L84" s="437"/>
      <c r="M84" s="437"/>
      <c r="N84" s="437"/>
      <c r="O84" s="437"/>
      <c r="P84" s="437"/>
      <c r="Q84" s="437"/>
      <c r="R84" s="437"/>
      <c r="S84" s="437"/>
      <c r="T84" s="437"/>
      <c r="U84" s="437"/>
      <c r="V84" s="437"/>
      <c r="W84" s="437"/>
      <c r="X84" s="437"/>
      <c r="Y84" s="437"/>
      <c r="Z84" s="437"/>
      <c r="AA84" s="437"/>
      <c r="AB84" s="437"/>
      <c r="AC84" s="437"/>
      <c r="AD84" s="437"/>
      <c r="AE84" s="437"/>
      <c r="AF84" s="437"/>
      <c r="AG84" s="437"/>
      <c r="AH84" s="437"/>
      <c r="AI84" s="437"/>
      <c r="AJ84" s="437"/>
      <c r="AK84" s="437"/>
      <c r="AL84" s="437"/>
      <c r="AM84" s="437"/>
      <c r="AN84" s="437"/>
      <c r="AO84" s="437"/>
      <c r="AP84" s="437"/>
      <c r="AQ84" s="437"/>
      <c r="AR84" s="437"/>
      <c r="AS84" s="437"/>
      <c r="AT84" s="437"/>
      <c r="AU84" s="437"/>
      <c r="AV84" s="437"/>
      <c r="AW84" s="437"/>
      <c r="AX84" s="437"/>
      <c r="AY84" s="437"/>
      <c r="AZ84" s="437"/>
      <c r="BA84" s="437"/>
      <c r="BB84" s="437"/>
      <c r="BC84" s="437"/>
      <c r="BD84" s="437"/>
      <c r="BE84" s="437"/>
      <c r="BF84" s="437"/>
      <c r="BG84" s="437"/>
      <c r="BH84" s="437"/>
      <c r="BI84" s="437"/>
      <c r="BJ84" s="437"/>
      <c r="BK84" s="437"/>
      <c r="BL84" s="437"/>
      <c r="BM84" s="437"/>
      <c r="BN84" s="437"/>
      <c r="BO84" s="437"/>
      <c r="BP84" s="437"/>
      <c r="BQ84" s="437"/>
      <c r="BR84" s="437"/>
      <c r="BS84" s="437"/>
      <c r="BT84" s="437"/>
      <c r="BU84" s="437"/>
      <c r="BV84" s="437"/>
      <c r="BW84" s="437"/>
      <c r="BX84" s="437"/>
      <c r="BY84" s="437"/>
      <c r="BZ84" s="437"/>
      <c r="CA84" s="437"/>
      <c r="CB84" s="437"/>
      <c r="CC84" s="437"/>
      <c r="CD84" s="437"/>
      <c r="CE84" s="437"/>
      <c r="CF84" s="437"/>
      <c r="CG84" s="437"/>
      <c r="CH84" s="437"/>
      <c r="CI84" s="437"/>
      <c r="CJ84" s="437"/>
      <c r="CK84" s="437"/>
      <c r="CL84" s="437"/>
      <c r="CM84" s="437"/>
      <c r="CN84" s="437"/>
      <c r="CO84" s="437"/>
      <c r="CP84" s="437"/>
      <c r="CQ84" s="437"/>
      <c r="CR84" s="437"/>
      <c r="CS84" s="437"/>
      <c r="CT84" s="437"/>
      <c r="CU84" s="437"/>
      <c r="CV84" s="437"/>
      <c r="CW84" s="437"/>
      <c r="CX84" s="437"/>
      <c r="CY84" s="437"/>
      <c r="CZ84" s="437"/>
      <c r="DA84" s="437"/>
    </row>
    <row r="85" spans="2:105" s="362" customFormat="1" x14ac:dyDescent="0.2">
      <c r="B85" s="12"/>
      <c r="C85" s="12"/>
      <c r="D85" s="13"/>
      <c r="E85" s="12"/>
      <c r="F85" s="12"/>
      <c r="G85" s="13"/>
      <c r="H85" s="12"/>
      <c r="I85" s="437"/>
      <c r="J85" s="437"/>
      <c r="K85" s="437"/>
      <c r="L85" s="437"/>
      <c r="M85" s="437"/>
      <c r="N85" s="437"/>
      <c r="O85" s="437"/>
      <c r="P85" s="437"/>
      <c r="Q85" s="437"/>
      <c r="R85" s="437"/>
      <c r="S85" s="437"/>
      <c r="T85" s="437"/>
      <c r="U85" s="437"/>
      <c r="V85" s="437"/>
      <c r="W85" s="437"/>
      <c r="X85" s="437"/>
      <c r="Y85" s="437"/>
      <c r="Z85" s="437"/>
      <c r="AA85" s="437"/>
      <c r="AB85" s="437"/>
      <c r="AC85" s="437"/>
      <c r="AD85" s="437"/>
      <c r="AE85" s="437"/>
      <c r="AF85" s="437"/>
      <c r="AG85" s="437"/>
      <c r="AH85" s="437"/>
      <c r="AI85" s="437"/>
      <c r="AJ85" s="437"/>
      <c r="AK85" s="437"/>
      <c r="AL85" s="437"/>
      <c r="AM85" s="437"/>
      <c r="AN85" s="437"/>
      <c r="AO85" s="437"/>
      <c r="AP85" s="437"/>
      <c r="AQ85" s="437"/>
      <c r="AR85" s="437"/>
      <c r="AS85" s="437"/>
      <c r="AT85" s="437"/>
      <c r="AU85" s="437"/>
      <c r="AV85" s="437"/>
      <c r="AW85" s="437"/>
      <c r="AX85" s="437"/>
      <c r="AY85" s="437"/>
      <c r="AZ85" s="437"/>
      <c r="BA85" s="437"/>
      <c r="BB85" s="437"/>
      <c r="BC85" s="437"/>
      <c r="BD85" s="437"/>
      <c r="BE85" s="437"/>
      <c r="BF85" s="437"/>
      <c r="BG85" s="437"/>
      <c r="BH85" s="437"/>
      <c r="BI85" s="437"/>
      <c r="BJ85" s="437"/>
      <c r="BK85" s="437"/>
      <c r="BL85" s="437"/>
      <c r="BM85" s="437"/>
      <c r="BN85" s="437"/>
      <c r="BO85" s="437"/>
      <c r="BP85" s="437"/>
      <c r="BQ85" s="437"/>
      <c r="BR85" s="437"/>
      <c r="BS85" s="437"/>
      <c r="BT85" s="437"/>
      <c r="BU85" s="437"/>
      <c r="BV85" s="437"/>
      <c r="BW85" s="437"/>
      <c r="BX85" s="437"/>
      <c r="BY85" s="437"/>
      <c r="BZ85" s="437"/>
      <c r="CA85" s="437"/>
      <c r="CB85" s="437"/>
      <c r="CC85" s="437"/>
      <c r="CD85" s="437"/>
      <c r="CE85" s="437"/>
      <c r="CF85" s="437"/>
      <c r="CG85" s="437"/>
      <c r="CH85" s="437"/>
      <c r="CI85" s="437"/>
      <c r="CJ85" s="437"/>
      <c r="CK85" s="437"/>
      <c r="CL85" s="437"/>
      <c r="CM85" s="437"/>
      <c r="CN85" s="437"/>
      <c r="CO85" s="437"/>
      <c r="CP85" s="437"/>
      <c r="CQ85" s="437"/>
      <c r="CR85" s="437"/>
      <c r="CS85" s="437"/>
      <c r="CT85" s="437"/>
      <c r="CU85" s="437"/>
      <c r="CV85" s="437"/>
      <c r="CW85" s="437"/>
      <c r="CX85" s="437"/>
      <c r="CY85" s="437"/>
      <c r="CZ85" s="437"/>
      <c r="DA85" s="437"/>
    </row>
    <row r="86" spans="2:105" s="362" customFormat="1" x14ac:dyDescent="0.2">
      <c r="B86" s="12"/>
      <c r="C86" s="12"/>
      <c r="D86" s="13"/>
      <c r="E86" s="12"/>
      <c r="F86" s="12"/>
      <c r="G86" s="13"/>
      <c r="H86" s="12"/>
      <c r="I86" s="437"/>
      <c r="J86" s="437"/>
      <c r="K86" s="437"/>
      <c r="L86" s="437"/>
      <c r="M86" s="437"/>
      <c r="N86" s="437"/>
      <c r="O86" s="437"/>
      <c r="P86" s="437"/>
      <c r="Q86" s="437"/>
      <c r="R86" s="437"/>
      <c r="S86" s="437"/>
      <c r="T86" s="437"/>
      <c r="U86" s="437"/>
      <c r="V86" s="437"/>
      <c r="W86" s="437"/>
      <c r="X86" s="437"/>
      <c r="Y86" s="437"/>
      <c r="Z86" s="437"/>
      <c r="AA86" s="437"/>
      <c r="AB86" s="437"/>
      <c r="AC86" s="437"/>
      <c r="AD86" s="437"/>
      <c r="AE86" s="437"/>
      <c r="AF86" s="437"/>
      <c r="AG86" s="437"/>
      <c r="AH86" s="437"/>
      <c r="AI86" s="437"/>
      <c r="AJ86" s="437"/>
      <c r="AK86" s="437"/>
      <c r="AL86" s="437"/>
      <c r="AM86" s="437"/>
      <c r="AN86" s="437"/>
      <c r="AO86" s="437"/>
      <c r="AP86" s="437"/>
      <c r="AQ86" s="437"/>
      <c r="AR86" s="437"/>
      <c r="AS86" s="437"/>
      <c r="AT86" s="437"/>
      <c r="AU86" s="437"/>
      <c r="AV86" s="437"/>
      <c r="AW86" s="437"/>
      <c r="AX86" s="437"/>
      <c r="AY86" s="437"/>
      <c r="AZ86" s="437"/>
      <c r="BA86" s="437"/>
      <c r="BB86" s="437"/>
      <c r="BC86" s="437"/>
      <c r="BD86" s="437"/>
      <c r="BE86" s="437"/>
      <c r="BF86" s="437"/>
      <c r="BG86" s="437"/>
      <c r="BH86" s="437"/>
      <c r="BI86" s="437"/>
      <c r="BJ86" s="437"/>
      <c r="BK86" s="437"/>
      <c r="BL86" s="437"/>
      <c r="BM86" s="437"/>
      <c r="BN86" s="437"/>
      <c r="BO86" s="437"/>
      <c r="BP86" s="437"/>
      <c r="BQ86" s="437"/>
      <c r="BR86" s="437"/>
      <c r="BS86" s="437"/>
      <c r="BT86" s="437"/>
      <c r="BU86" s="437"/>
      <c r="BV86" s="437"/>
      <c r="BW86" s="437"/>
      <c r="BX86" s="437"/>
      <c r="BY86" s="437"/>
      <c r="BZ86" s="437"/>
      <c r="CA86" s="437"/>
      <c r="CB86" s="437"/>
      <c r="CC86" s="437"/>
      <c r="CD86" s="437"/>
      <c r="CE86" s="437"/>
      <c r="CF86" s="437"/>
      <c r="CG86" s="437"/>
      <c r="CH86" s="437"/>
      <c r="CI86" s="437"/>
      <c r="CJ86" s="437"/>
      <c r="CK86" s="437"/>
      <c r="CL86" s="437"/>
      <c r="CM86" s="437"/>
      <c r="CN86" s="437"/>
      <c r="CO86" s="437"/>
      <c r="CP86" s="437"/>
      <c r="CQ86" s="437"/>
      <c r="CR86" s="437"/>
      <c r="CS86" s="437"/>
      <c r="CT86" s="437"/>
      <c r="CU86" s="437"/>
      <c r="CV86" s="437"/>
      <c r="CW86" s="437"/>
      <c r="CX86" s="437"/>
      <c r="CY86" s="437"/>
      <c r="CZ86" s="437"/>
      <c r="DA86" s="437"/>
    </row>
    <row r="87" spans="2:105" s="362" customFormat="1" x14ac:dyDescent="0.2">
      <c r="B87" s="12"/>
      <c r="C87" s="12"/>
      <c r="D87" s="13"/>
      <c r="E87" s="12"/>
      <c r="F87" s="12"/>
      <c r="G87" s="13"/>
      <c r="H87" s="12"/>
      <c r="I87" s="437"/>
      <c r="J87" s="437"/>
      <c r="K87" s="437"/>
      <c r="L87" s="437"/>
      <c r="M87" s="437"/>
      <c r="N87" s="437"/>
      <c r="O87" s="437"/>
      <c r="P87" s="437"/>
      <c r="Q87" s="437"/>
      <c r="R87" s="437"/>
      <c r="S87" s="437"/>
      <c r="T87" s="437"/>
      <c r="U87" s="437"/>
      <c r="V87" s="437"/>
      <c r="W87" s="437"/>
      <c r="X87" s="437"/>
      <c r="Y87" s="437"/>
      <c r="Z87" s="437"/>
      <c r="AA87" s="437"/>
      <c r="AB87" s="437"/>
      <c r="AC87" s="437"/>
      <c r="AD87" s="437"/>
      <c r="AE87" s="437"/>
      <c r="AF87" s="437"/>
      <c r="AG87" s="437"/>
      <c r="AH87" s="437"/>
      <c r="AI87" s="437"/>
      <c r="AJ87" s="437"/>
      <c r="AK87" s="437"/>
      <c r="AL87" s="437"/>
      <c r="AM87" s="437"/>
      <c r="AN87" s="437"/>
      <c r="AO87" s="437"/>
      <c r="AP87" s="437"/>
      <c r="AQ87" s="437"/>
      <c r="AR87" s="437"/>
      <c r="AS87" s="437"/>
      <c r="AT87" s="437"/>
      <c r="AU87" s="437"/>
      <c r="AV87" s="437"/>
      <c r="AW87" s="437"/>
      <c r="AX87" s="437"/>
      <c r="AY87" s="437"/>
      <c r="AZ87" s="437"/>
      <c r="BA87" s="437"/>
      <c r="BB87" s="437"/>
      <c r="BC87" s="437"/>
      <c r="BD87" s="437"/>
      <c r="BE87" s="437"/>
      <c r="BF87" s="437"/>
      <c r="BG87" s="437"/>
      <c r="BH87" s="437"/>
      <c r="BI87" s="437"/>
      <c r="BJ87" s="437"/>
      <c r="BK87" s="437"/>
      <c r="BL87" s="437"/>
      <c r="BM87" s="437"/>
      <c r="BN87" s="437"/>
      <c r="BO87" s="437"/>
      <c r="BP87" s="437"/>
      <c r="BQ87" s="437"/>
      <c r="BR87" s="437"/>
      <c r="BS87" s="437"/>
      <c r="BT87" s="437"/>
      <c r="BU87" s="437"/>
      <c r="BV87" s="437"/>
      <c r="BW87" s="437"/>
      <c r="BX87" s="437"/>
      <c r="BY87" s="437"/>
      <c r="BZ87" s="437"/>
      <c r="CA87" s="437"/>
      <c r="CB87" s="437"/>
      <c r="CC87" s="437"/>
      <c r="CD87" s="437"/>
      <c r="CE87" s="437"/>
      <c r="CF87" s="437"/>
      <c r="CG87" s="437"/>
      <c r="CH87" s="437"/>
      <c r="CI87" s="437"/>
      <c r="CJ87" s="437"/>
      <c r="CK87" s="437"/>
      <c r="CL87" s="437"/>
      <c r="CM87" s="437"/>
      <c r="CN87" s="437"/>
      <c r="CO87" s="437"/>
      <c r="CP87" s="437"/>
      <c r="CQ87" s="437"/>
      <c r="CR87" s="437"/>
      <c r="CS87" s="437"/>
      <c r="CT87" s="437"/>
      <c r="CU87" s="437"/>
      <c r="CV87" s="437"/>
      <c r="CW87" s="437"/>
      <c r="CX87" s="437"/>
      <c r="CY87" s="437"/>
      <c r="CZ87" s="437"/>
      <c r="DA87" s="437"/>
    </row>
    <row r="88" spans="2:105" s="362" customFormat="1" x14ac:dyDescent="0.2">
      <c r="B88" s="12"/>
      <c r="C88" s="12"/>
      <c r="D88" s="13"/>
      <c r="E88" s="12"/>
      <c r="F88" s="12"/>
      <c r="G88" s="13"/>
      <c r="H88" s="12"/>
      <c r="I88" s="437"/>
      <c r="J88" s="437"/>
      <c r="K88" s="437"/>
      <c r="L88" s="437"/>
      <c r="M88" s="437"/>
      <c r="N88" s="437"/>
      <c r="O88" s="437"/>
      <c r="P88" s="437"/>
      <c r="Q88" s="437"/>
      <c r="R88" s="437"/>
      <c r="S88" s="437"/>
      <c r="T88" s="437"/>
      <c r="U88" s="437"/>
      <c r="V88" s="437"/>
      <c r="W88" s="437"/>
      <c r="X88" s="437"/>
      <c r="Y88" s="437"/>
      <c r="Z88" s="437"/>
      <c r="AA88" s="437"/>
      <c r="AB88" s="437"/>
      <c r="AC88" s="437"/>
      <c r="AD88" s="437"/>
      <c r="AE88" s="437"/>
      <c r="AF88" s="437"/>
      <c r="AG88" s="437"/>
      <c r="AH88" s="437"/>
      <c r="AI88" s="437"/>
      <c r="AJ88" s="437"/>
      <c r="AK88" s="437"/>
      <c r="AL88" s="437"/>
      <c r="AM88" s="437"/>
      <c r="AN88" s="437"/>
      <c r="AO88" s="437"/>
      <c r="AP88" s="437"/>
      <c r="AQ88" s="437"/>
      <c r="AR88" s="437"/>
      <c r="AS88" s="437"/>
      <c r="AT88" s="437"/>
      <c r="AU88" s="437"/>
      <c r="AV88" s="437"/>
      <c r="AW88" s="437"/>
      <c r="AX88" s="437"/>
      <c r="AY88" s="437"/>
      <c r="AZ88" s="437"/>
      <c r="BA88" s="437"/>
      <c r="BB88" s="437"/>
      <c r="BC88" s="437"/>
      <c r="BD88" s="437"/>
      <c r="BE88" s="437"/>
      <c r="BF88" s="437"/>
      <c r="BG88" s="437"/>
      <c r="BH88" s="437"/>
      <c r="BI88" s="437"/>
      <c r="BJ88" s="437"/>
      <c r="BK88" s="437"/>
      <c r="BL88" s="437"/>
      <c r="BM88" s="437"/>
      <c r="BN88" s="437"/>
      <c r="BO88" s="437"/>
      <c r="BP88" s="437"/>
      <c r="BQ88" s="437"/>
      <c r="BR88" s="437"/>
      <c r="BS88" s="437"/>
      <c r="BT88" s="437"/>
      <c r="BU88" s="437"/>
      <c r="BV88" s="437"/>
      <c r="BW88" s="437"/>
      <c r="BX88" s="437"/>
      <c r="BY88" s="437"/>
      <c r="BZ88" s="437"/>
      <c r="CA88" s="437"/>
      <c r="CB88" s="437"/>
      <c r="CC88" s="437"/>
      <c r="CD88" s="437"/>
      <c r="CE88" s="437"/>
      <c r="CF88" s="437"/>
      <c r="CG88" s="437"/>
      <c r="CH88" s="437"/>
      <c r="CI88" s="437"/>
      <c r="CJ88" s="437"/>
      <c r="CK88" s="437"/>
      <c r="CL88" s="437"/>
      <c r="CM88" s="437"/>
      <c r="CN88" s="437"/>
      <c r="CO88" s="437"/>
      <c r="CP88" s="437"/>
      <c r="CQ88" s="437"/>
      <c r="CR88" s="437"/>
      <c r="CS88" s="437"/>
      <c r="CT88" s="437"/>
      <c r="CU88" s="437"/>
      <c r="CV88" s="437"/>
      <c r="CW88" s="437"/>
      <c r="CX88" s="437"/>
      <c r="CY88" s="437"/>
      <c r="CZ88" s="437"/>
      <c r="DA88" s="437"/>
    </row>
    <row r="89" spans="2:105" s="362" customFormat="1" x14ac:dyDescent="0.2">
      <c r="B89" s="12"/>
      <c r="C89" s="12"/>
      <c r="D89" s="13"/>
      <c r="E89" s="12"/>
      <c r="F89" s="12"/>
      <c r="G89" s="13"/>
      <c r="H89" s="12"/>
      <c r="I89" s="437"/>
      <c r="J89" s="437"/>
      <c r="K89" s="437"/>
      <c r="L89" s="437"/>
      <c r="M89" s="437"/>
      <c r="N89" s="437"/>
      <c r="O89" s="437"/>
      <c r="P89" s="437"/>
      <c r="Q89" s="437"/>
      <c r="R89" s="437"/>
      <c r="S89" s="437"/>
      <c r="T89" s="437"/>
      <c r="U89" s="437"/>
      <c r="V89" s="437"/>
      <c r="W89" s="437"/>
      <c r="X89" s="437"/>
      <c r="Y89" s="437"/>
      <c r="Z89" s="437"/>
      <c r="AA89" s="437"/>
      <c r="AB89" s="437"/>
      <c r="AC89" s="437"/>
      <c r="AD89" s="437"/>
      <c r="AE89" s="437"/>
      <c r="AF89" s="437"/>
      <c r="AG89" s="437"/>
      <c r="AH89" s="437"/>
      <c r="AI89" s="437"/>
      <c r="AJ89" s="437"/>
      <c r="AK89" s="437"/>
      <c r="AL89" s="437"/>
      <c r="AM89" s="437"/>
      <c r="AN89" s="437"/>
      <c r="AO89" s="437"/>
      <c r="AP89" s="437"/>
      <c r="AQ89" s="437"/>
      <c r="AR89" s="437"/>
      <c r="AS89" s="437"/>
      <c r="AT89" s="437"/>
      <c r="AU89" s="437"/>
      <c r="AV89" s="437"/>
      <c r="AW89" s="437"/>
      <c r="AX89" s="437"/>
      <c r="AY89" s="437"/>
      <c r="AZ89" s="437"/>
      <c r="BA89" s="437"/>
      <c r="BB89" s="437"/>
      <c r="BC89" s="437"/>
      <c r="BD89" s="437"/>
      <c r="BE89" s="437"/>
      <c r="BF89" s="437"/>
      <c r="BG89" s="437"/>
      <c r="BH89" s="437"/>
      <c r="BI89" s="437"/>
      <c r="BJ89" s="437"/>
      <c r="BK89" s="437"/>
      <c r="BL89" s="437"/>
      <c r="BM89" s="437"/>
      <c r="BN89" s="437"/>
      <c r="BO89" s="437"/>
      <c r="BP89" s="437"/>
      <c r="BQ89" s="437"/>
      <c r="BR89" s="437"/>
      <c r="BS89" s="437"/>
      <c r="BT89" s="437"/>
      <c r="BU89" s="437"/>
      <c r="BV89" s="437"/>
      <c r="BW89" s="437"/>
      <c r="BX89" s="437"/>
      <c r="BY89" s="437"/>
      <c r="BZ89" s="437"/>
      <c r="CA89" s="437"/>
      <c r="CB89" s="437"/>
      <c r="CC89" s="437"/>
      <c r="CD89" s="437"/>
      <c r="CE89" s="437"/>
      <c r="CF89" s="437"/>
      <c r="CG89" s="437"/>
      <c r="CH89" s="437"/>
      <c r="CI89" s="437"/>
      <c r="CJ89" s="437"/>
      <c r="CK89" s="437"/>
      <c r="CL89" s="437"/>
      <c r="CM89" s="437"/>
      <c r="CN89" s="437"/>
      <c r="CO89" s="437"/>
      <c r="CP89" s="437"/>
      <c r="CQ89" s="437"/>
      <c r="CR89" s="437"/>
      <c r="CS89" s="437"/>
      <c r="CT89" s="437"/>
      <c r="CU89" s="437"/>
      <c r="CV89" s="437"/>
      <c r="CW89" s="437"/>
      <c r="CX89" s="437"/>
      <c r="CY89" s="437"/>
      <c r="CZ89" s="437"/>
      <c r="DA89" s="437"/>
    </row>
    <row r="90" spans="2:105" s="362" customFormat="1" x14ac:dyDescent="0.2">
      <c r="B90" s="12"/>
      <c r="C90" s="12"/>
      <c r="D90" s="13"/>
      <c r="E90" s="12"/>
      <c r="F90" s="12"/>
      <c r="G90" s="13"/>
      <c r="H90" s="12"/>
      <c r="I90" s="437"/>
      <c r="J90" s="437"/>
      <c r="K90" s="437"/>
      <c r="L90" s="437"/>
      <c r="M90" s="437"/>
      <c r="N90" s="437"/>
      <c r="O90" s="437"/>
      <c r="P90" s="437"/>
      <c r="Q90" s="437"/>
      <c r="R90" s="437"/>
      <c r="S90" s="437"/>
      <c r="T90" s="437"/>
      <c r="U90" s="437"/>
      <c r="V90" s="437"/>
      <c r="W90" s="437"/>
      <c r="X90" s="437"/>
      <c r="Y90" s="437"/>
      <c r="Z90" s="437"/>
      <c r="AA90" s="437"/>
      <c r="AB90" s="437"/>
      <c r="AC90" s="437"/>
      <c r="AD90" s="437"/>
      <c r="AE90" s="437"/>
      <c r="AF90" s="437"/>
      <c r="AG90" s="437"/>
      <c r="AH90" s="437"/>
      <c r="AI90" s="437"/>
      <c r="AJ90" s="437"/>
      <c r="AK90" s="437"/>
      <c r="AL90" s="437"/>
      <c r="AM90" s="437"/>
      <c r="AN90" s="437"/>
      <c r="AO90" s="437"/>
      <c r="AP90" s="437"/>
      <c r="AQ90" s="437"/>
      <c r="AR90" s="437"/>
      <c r="AS90" s="437"/>
      <c r="AT90" s="437"/>
      <c r="AU90" s="437"/>
      <c r="AV90" s="437"/>
      <c r="AW90" s="437"/>
      <c r="AX90" s="437"/>
      <c r="AY90" s="437"/>
      <c r="AZ90" s="437"/>
      <c r="BA90" s="437"/>
      <c r="BB90" s="437"/>
      <c r="BC90" s="437"/>
      <c r="BD90" s="437"/>
      <c r="BE90" s="437"/>
      <c r="BF90" s="437"/>
      <c r="BG90" s="437"/>
      <c r="BH90" s="437"/>
      <c r="BI90" s="437"/>
      <c r="BJ90" s="437"/>
      <c r="BK90" s="437"/>
      <c r="BL90" s="437"/>
      <c r="BM90" s="437"/>
      <c r="BN90" s="437"/>
      <c r="BO90" s="437"/>
      <c r="BP90" s="437"/>
      <c r="BQ90" s="437"/>
      <c r="BR90" s="437"/>
      <c r="BS90" s="437"/>
      <c r="BT90" s="437"/>
      <c r="BU90" s="437"/>
      <c r="BV90" s="437"/>
      <c r="BW90" s="437"/>
      <c r="BX90" s="437"/>
      <c r="BY90" s="437"/>
      <c r="BZ90" s="437"/>
      <c r="CA90" s="437"/>
      <c r="CB90" s="437"/>
      <c r="CC90" s="437"/>
      <c r="CD90" s="437"/>
      <c r="CE90" s="437"/>
      <c r="CF90" s="437"/>
      <c r="CG90" s="437"/>
      <c r="CH90" s="437"/>
      <c r="CI90" s="437"/>
      <c r="CJ90" s="437"/>
      <c r="CK90" s="437"/>
      <c r="CL90" s="437"/>
      <c r="CM90" s="437"/>
      <c r="CN90" s="437"/>
      <c r="CO90" s="437"/>
      <c r="CP90" s="437"/>
      <c r="CQ90" s="437"/>
      <c r="CR90" s="437"/>
      <c r="CS90" s="437"/>
      <c r="CT90" s="437"/>
      <c r="CU90" s="437"/>
      <c r="CV90" s="437"/>
      <c r="CW90" s="437"/>
      <c r="CX90" s="437"/>
      <c r="CY90" s="437"/>
      <c r="CZ90" s="437"/>
      <c r="DA90" s="437"/>
    </row>
    <row r="91" spans="2:105" s="362" customFormat="1" x14ac:dyDescent="0.2">
      <c r="B91" s="12"/>
      <c r="C91" s="12"/>
      <c r="D91" s="13"/>
      <c r="E91" s="12"/>
      <c r="F91" s="12"/>
      <c r="G91" s="13"/>
      <c r="H91" s="12"/>
      <c r="I91" s="437"/>
      <c r="J91" s="437"/>
      <c r="K91" s="437"/>
      <c r="L91" s="437"/>
      <c r="M91" s="437"/>
      <c r="N91" s="437"/>
      <c r="O91" s="437"/>
      <c r="P91" s="437"/>
      <c r="Q91" s="437"/>
      <c r="R91" s="437"/>
      <c r="S91" s="437"/>
      <c r="T91" s="437"/>
      <c r="U91" s="437"/>
      <c r="V91" s="437"/>
      <c r="W91" s="437"/>
      <c r="X91" s="437"/>
      <c r="Y91" s="437"/>
      <c r="Z91" s="437"/>
      <c r="AA91" s="437"/>
      <c r="AB91" s="437"/>
      <c r="AC91" s="437"/>
      <c r="AD91" s="437"/>
      <c r="AE91" s="437"/>
      <c r="AF91" s="437"/>
      <c r="AG91" s="437"/>
      <c r="AH91" s="437"/>
      <c r="AI91" s="437"/>
      <c r="AJ91" s="437"/>
      <c r="AK91" s="437"/>
      <c r="AL91" s="437"/>
      <c r="AM91" s="437"/>
      <c r="AN91" s="437"/>
      <c r="AO91" s="437"/>
      <c r="AP91" s="437"/>
      <c r="AQ91" s="437"/>
      <c r="AR91" s="437"/>
      <c r="AS91" s="437"/>
      <c r="AT91" s="437"/>
      <c r="AU91" s="437"/>
      <c r="AV91" s="437"/>
      <c r="AW91" s="437"/>
      <c r="AX91" s="437"/>
      <c r="AY91" s="437"/>
      <c r="AZ91" s="437"/>
      <c r="BA91" s="437"/>
      <c r="BB91" s="437"/>
      <c r="BC91" s="437"/>
      <c r="BD91" s="437"/>
      <c r="BE91" s="437"/>
      <c r="BF91" s="437"/>
      <c r="BG91" s="437"/>
      <c r="BH91" s="437"/>
      <c r="BI91" s="437"/>
      <c r="BJ91" s="437"/>
      <c r="BK91" s="437"/>
      <c r="BL91" s="437"/>
      <c r="BM91" s="437"/>
      <c r="BN91" s="437"/>
      <c r="BO91" s="437"/>
      <c r="BP91" s="437"/>
      <c r="BQ91" s="437"/>
      <c r="BR91" s="437"/>
      <c r="BS91" s="437"/>
      <c r="BT91" s="437"/>
      <c r="BU91" s="437"/>
      <c r="BV91" s="437"/>
      <c r="BW91" s="437"/>
      <c r="BX91" s="437"/>
      <c r="BY91" s="437"/>
      <c r="BZ91" s="437"/>
      <c r="CA91" s="437"/>
      <c r="CB91" s="437"/>
      <c r="CC91" s="437"/>
      <c r="CD91" s="437"/>
      <c r="CE91" s="437"/>
      <c r="CF91" s="437"/>
      <c r="CG91" s="437"/>
      <c r="CH91" s="437"/>
      <c r="CI91" s="437"/>
      <c r="CJ91" s="437"/>
      <c r="CK91" s="437"/>
      <c r="CL91" s="437"/>
      <c r="CM91" s="437"/>
      <c r="CN91" s="437"/>
      <c r="CO91" s="437"/>
      <c r="CP91" s="437"/>
      <c r="CQ91" s="437"/>
      <c r="CR91" s="437"/>
      <c r="CS91" s="437"/>
      <c r="CT91" s="437"/>
      <c r="CU91" s="437"/>
      <c r="CV91" s="437"/>
      <c r="CW91" s="437"/>
      <c r="CX91" s="437"/>
      <c r="CY91" s="437"/>
      <c r="CZ91" s="437"/>
      <c r="DA91" s="437"/>
    </row>
    <row r="92" spans="2:105" s="362" customFormat="1" x14ac:dyDescent="0.2">
      <c r="B92" s="12"/>
      <c r="C92" s="12"/>
      <c r="D92" s="13"/>
      <c r="E92" s="12"/>
      <c r="F92" s="12"/>
      <c r="G92" s="13"/>
      <c r="H92" s="12"/>
      <c r="I92" s="437"/>
      <c r="J92" s="437"/>
      <c r="K92" s="437"/>
      <c r="L92" s="437"/>
      <c r="M92" s="437"/>
      <c r="N92" s="437"/>
      <c r="O92" s="437"/>
      <c r="P92" s="437"/>
      <c r="Q92" s="437"/>
      <c r="R92" s="437"/>
      <c r="S92" s="437"/>
      <c r="T92" s="437"/>
      <c r="U92" s="437"/>
      <c r="V92" s="437"/>
      <c r="W92" s="437"/>
      <c r="X92" s="437"/>
      <c r="Y92" s="437"/>
      <c r="Z92" s="437"/>
      <c r="AA92" s="437"/>
      <c r="AB92" s="437"/>
      <c r="AC92" s="437"/>
      <c r="AD92" s="437"/>
      <c r="AE92" s="437"/>
      <c r="AF92" s="437"/>
      <c r="AG92" s="437"/>
      <c r="AH92" s="437"/>
      <c r="AI92" s="437"/>
      <c r="AJ92" s="437"/>
      <c r="AK92" s="437"/>
      <c r="AL92" s="437"/>
      <c r="AM92" s="437"/>
      <c r="AN92" s="437"/>
      <c r="AO92" s="437"/>
      <c r="AP92" s="437"/>
      <c r="AQ92" s="437"/>
      <c r="AR92" s="437"/>
      <c r="AS92" s="437"/>
      <c r="AT92" s="437"/>
      <c r="AU92" s="437"/>
      <c r="AV92" s="437"/>
      <c r="AW92" s="437"/>
      <c r="AX92" s="437"/>
      <c r="AY92" s="437"/>
      <c r="AZ92" s="437"/>
      <c r="BA92" s="437"/>
      <c r="BB92" s="437"/>
      <c r="BC92" s="437"/>
      <c r="BD92" s="437"/>
      <c r="BE92" s="437"/>
      <c r="BF92" s="437"/>
      <c r="BG92" s="437"/>
      <c r="BH92" s="437"/>
      <c r="BI92" s="437"/>
      <c r="BJ92" s="437"/>
      <c r="BK92" s="437"/>
      <c r="BL92" s="437"/>
      <c r="BM92" s="437"/>
      <c r="BN92" s="437"/>
      <c r="BO92" s="437"/>
      <c r="BP92" s="437"/>
      <c r="BQ92" s="437"/>
      <c r="BR92" s="437"/>
      <c r="BS92" s="437"/>
      <c r="BT92" s="437"/>
      <c r="BU92" s="437"/>
      <c r="BV92" s="437"/>
      <c r="BW92" s="437"/>
      <c r="BX92" s="437"/>
      <c r="BY92" s="437"/>
      <c r="BZ92" s="437"/>
      <c r="CA92" s="437"/>
      <c r="CB92" s="437"/>
      <c r="CC92" s="437"/>
      <c r="CD92" s="437"/>
      <c r="CE92" s="437"/>
      <c r="CF92" s="437"/>
      <c r="CG92" s="437"/>
      <c r="CH92" s="437"/>
      <c r="CI92" s="437"/>
      <c r="CJ92" s="437"/>
      <c r="CK92" s="437"/>
      <c r="CL92" s="437"/>
      <c r="CM92" s="437"/>
      <c r="CN92" s="437"/>
      <c r="CO92" s="437"/>
      <c r="CP92" s="437"/>
      <c r="CQ92" s="437"/>
      <c r="CR92" s="437"/>
      <c r="CS92" s="437"/>
      <c r="CT92" s="437"/>
      <c r="CU92" s="437"/>
      <c r="CV92" s="437"/>
      <c r="CW92" s="437"/>
      <c r="CX92" s="437"/>
      <c r="CY92" s="437"/>
      <c r="CZ92" s="437"/>
      <c r="DA92" s="437"/>
    </row>
    <row r="93" spans="2:105" s="362" customFormat="1" x14ac:dyDescent="0.2">
      <c r="B93" s="12"/>
      <c r="C93" s="12"/>
      <c r="D93" s="13"/>
      <c r="E93" s="12"/>
      <c r="F93" s="12"/>
      <c r="G93" s="13"/>
      <c r="H93" s="12"/>
      <c r="I93" s="437"/>
      <c r="J93" s="437"/>
      <c r="K93" s="437"/>
      <c r="L93" s="437"/>
      <c r="M93" s="437"/>
      <c r="N93" s="437"/>
      <c r="O93" s="437"/>
      <c r="P93" s="437"/>
      <c r="Q93" s="437"/>
      <c r="R93" s="437"/>
      <c r="S93" s="437"/>
      <c r="T93" s="437"/>
      <c r="U93" s="437"/>
      <c r="V93" s="437"/>
      <c r="W93" s="437"/>
      <c r="X93" s="437"/>
      <c r="Y93" s="437"/>
      <c r="Z93" s="437"/>
      <c r="AA93" s="437"/>
      <c r="AB93" s="437"/>
      <c r="AC93" s="437"/>
      <c r="AD93" s="437"/>
      <c r="AE93" s="437"/>
      <c r="AF93" s="437"/>
      <c r="AG93" s="437"/>
      <c r="AH93" s="437"/>
      <c r="AI93" s="437"/>
      <c r="AJ93" s="437"/>
      <c r="AK93" s="437"/>
      <c r="AL93" s="437"/>
      <c r="AM93" s="437"/>
      <c r="AN93" s="437"/>
      <c r="AO93" s="437"/>
      <c r="AP93" s="437"/>
      <c r="AQ93" s="437"/>
      <c r="AR93" s="437"/>
      <c r="AS93" s="437"/>
      <c r="AT93" s="437"/>
      <c r="AU93" s="437"/>
      <c r="AV93" s="437"/>
      <c r="AW93" s="437"/>
      <c r="AX93" s="437"/>
      <c r="AY93" s="437"/>
      <c r="AZ93" s="437"/>
      <c r="BA93" s="437"/>
      <c r="BB93" s="437"/>
      <c r="BC93" s="437"/>
      <c r="BD93" s="437"/>
      <c r="BE93" s="437"/>
      <c r="BF93" s="437"/>
      <c r="BG93" s="437"/>
      <c r="BH93" s="437"/>
      <c r="BI93" s="437"/>
      <c r="BJ93" s="437"/>
      <c r="BK93" s="437"/>
      <c r="BL93" s="437"/>
      <c r="BM93" s="437"/>
      <c r="BN93" s="437"/>
      <c r="BO93" s="437"/>
      <c r="BP93" s="437"/>
      <c r="BQ93" s="437"/>
      <c r="BR93" s="437"/>
      <c r="BS93" s="437"/>
      <c r="BT93" s="437"/>
      <c r="BU93" s="437"/>
      <c r="BV93" s="437"/>
      <c r="BW93" s="437"/>
      <c r="BX93" s="437"/>
      <c r="BY93" s="437"/>
      <c r="BZ93" s="437"/>
      <c r="CA93" s="437"/>
      <c r="CB93" s="437"/>
      <c r="CC93" s="437"/>
      <c r="CD93" s="437"/>
      <c r="CE93" s="437"/>
      <c r="CF93" s="437"/>
      <c r="CG93" s="437"/>
      <c r="CH93" s="437"/>
      <c r="CI93" s="437"/>
      <c r="CJ93" s="437"/>
      <c r="CK93" s="437"/>
      <c r="CL93" s="437"/>
      <c r="CM93" s="437"/>
      <c r="CN93" s="437"/>
      <c r="CO93" s="437"/>
      <c r="CP93" s="437"/>
      <c r="CQ93" s="437"/>
      <c r="CR93" s="437"/>
      <c r="CS93" s="437"/>
      <c r="CT93" s="437"/>
      <c r="CU93" s="437"/>
      <c r="CV93" s="437"/>
      <c r="CW93" s="437"/>
      <c r="CX93" s="437"/>
      <c r="CY93" s="437"/>
      <c r="CZ93" s="437"/>
      <c r="DA93" s="437"/>
    </row>
    <row r="94" spans="2:105" s="362" customFormat="1" x14ac:dyDescent="0.2">
      <c r="B94" s="12"/>
      <c r="C94" s="12"/>
      <c r="D94" s="13"/>
      <c r="E94" s="12"/>
      <c r="F94" s="12"/>
      <c r="G94" s="13"/>
      <c r="H94" s="12"/>
      <c r="I94" s="437"/>
      <c r="J94" s="437"/>
      <c r="K94" s="437"/>
      <c r="L94" s="437"/>
      <c r="M94" s="437"/>
      <c r="N94" s="437"/>
      <c r="O94" s="437"/>
      <c r="P94" s="437"/>
      <c r="Q94" s="437"/>
      <c r="R94" s="437"/>
      <c r="S94" s="437"/>
      <c r="T94" s="437"/>
      <c r="U94" s="437"/>
      <c r="V94" s="437"/>
      <c r="W94" s="437"/>
      <c r="X94" s="437"/>
      <c r="Y94" s="437"/>
      <c r="Z94" s="437"/>
      <c r="AA94" s="437"/>
      <c r="AB94" s="437"/>
      <c r="AC94" s="437"/>
      <c r="AD94" s="437"/>
      <c r="AE94" s="437"/>
      <c r="AF94" s="437"/>
      <c r="AG94" s="437"/>
      <c r="AH94" s="437"/>
      <c r="AI94" s="437"/>
      <c r="AJ94" s="437"/>
      <c r="AK94" s="437"/>
      <c r="AL94" s="437"/>
      <c r="AM94" s="437"/>
      <c r="AN94" s="437"/>
      <c r="AO94" s="437"/>
      <c r="AP94" s="437"/>
      <c r="AQ94" s="437"/>
      <c r="AR94" s="437"/>
      <c r="AS94" s="437"/>
      <c r="AT94" s="437"/>
      <c r="AU94" s="437"/>
      <c r="AV94" s="437"/>
      <c r="AW94" s="437"/>
      <c r="AX94" s="437"/>
      <c r="AY94" s="437"/>
      <c r="AZ94" s="437"/>
      <c r="BA94" s="437"/>
      <c r="BB94" s="437"/>
      <c r="BC94" s="437"/>
      <c r="BD94" s="437"/>
      <c r="BE94" s="437"/>
      <c r="BF94" s="437"/>
      <c r="BG94" s="437"/>
      <c r="BH94" s="437"/>
      <c r="BI94" s="437"/>
      <c r="BJ94" s="437"/>
      <c r="BK94" s="437"/>
      <c r="BL94" s="437"/>
      <c r="BM94" s="437"/>
      <c r="BN94" s="437"/>
      <c r="BO94" s="437"/>
      <c r="BP94" s="437"/>
      <c r="BQ94" s="437"/>
      <c r="BR94" s="437"/>
      <c r="BS94" s="437"/>
      <c r="BT94" s="437"/>
      <c r="BU94" s="437"/>
      <c r="BV94" s="437"/>
      <c r="BW94" s="437"/>
      <c r="BX94" s="437"/>
      <c r="BY94" s="437"/>
      <c r="BZ94" s="437"/>
      <c r="CA94" s="437"/>
      <c r="CB94" s="437"/>
      <c r="CC94" s="437"/>
      <c r="CD94" s="437"/>
      <c r="CE94" s="437"/>
      <c r="CF94" s="437"/>
      <c r="CG94" s="437"/>
      <c r="CH94" s="437"/>
      <c r="CI94" s="437"/>
      <c r="CJ94" s="437"/>
      <c r="CK94" s="437"/>
      <c r="CL94" s="437"/>
      <c r="CM94" s="437"/>
      <c r="CN94" s="437"/>
      <c r="CO94" s="437"/>
      <c r="CP94" s="437"/>
      <c r="CQ94" s="437"/>
      <c r="CR94" s="437"/>
      <c r="CS94" s="437"/>
      <c r="CT94" s="437"/>
      <c r="CU94" s="437"/>
      <c r="CV94" s="437"/>
      <c r="CW94" s="437"/>
      <c r="CX94" s="437"/>
      <c r="CY94" s="437"/>
      <c r="CZ94" s="437"/>
      <c r="DA94" s="437"/>
    </row>
    <row r="95" spans="2:105" s="362" customFormat="1" x14ac:dyDescent="0.2">
      <c r="B95" s="12"/>
      <c r="C95" s="12"/>
      <c r="D95" s="13"/>
      <c r="E95" s="12"/>
      <c r="F95" s="12"/>
      <c r="G95" s="13"/>
      <c r="H95" s="12"/>
      <c r="I95" s="437"/>
      <c r="J95" s="437"/>
      <c r="K95" s="437"/>
      <c r="L95" s="437"/>
      <c r="M95" s="437"/>
      <c r="N95" s="437"/>
      <c r="O95" s="437"/>
      <c r="P95" s="437"/>
      <c r="Q95" s="437"/>
      <c r="R95" s="437"/>
      <c r="S95" s="437"/>
      <c r="T95" s="437"/>
      <c r="U95" s="437"/>
      <c r="V95" s="437"/>
      <c r="W95" s="437"/>
      <c r="X95" s="437"/>
      <c r="Y95" s="437"/>
      <c r="Z95" s="437"/>
      <c r="AA95" s="437"/>
      <c r="AB95" s="437"/>
      <c r="AC95" s="437"/>
      <c r="AD95" s="437"/>
      <c r="AE95" s="437"/>
      <c r="AF95" s="437"/>
      <c r="AG95" s="437"/>
      <c r="AH95" s="437"/>
      <c r="AI95" s="437"/>
      <c r="AJ95" s="437"/>
      <c r="AK95" s="437"/>
      <c r="AL95" s="437"/>
      <c r="AM95" s="437"/>
      <c r="AN95" s="437"/>
      <c r="AO95" s="437"/>
      <c r="AP95" s="437"/>
      <c r="AQ95" s="437"/>
      <c r="AR95" s="437"/>
      <c r="AS95" s="437"/>
      <c r="AT95" s="437"/>
      <c r="AU95" s="437"/>
      <c r="AV95" s="437"/>
      <c r="AW95" s="437"/>
      <c r="AX95" s="437"/>
      <c r="AY95" s="437"/>
      <c r="AZ95" s="437"/>
      <c r="BA95" s="437"/>
      <c r="BB95" s="437"/>
      <c r="BC95" s="437"/>
      <c r="BD95" s="437"/>
      <c r="BE95" s="437"/>
      <c r="BF95" s="437"/>
      <c r="BG95" s="437"/>
      <c r="BH95" s="437"/>
      <c r="BI95" s="437"/>
      <c r="BJ95" s="437"/>
      <c r="BK95" s="437"/>
      <c r="BL95" s="437"/>
      <c r="BM95" s="437"/>
      <c r="BN95" s="437"/>
      <c r="BO95" s="437"/>
      <c r="BP95" s="437"/>
      <c r="BQ95" s="437"/>
      <c r="BR95" s="437"/>
      <c r="BS95" s="437"/>
      <c r="BT95" s="437"/>
      <c r="BU95" s="437"/>
      <c r="BV95" s="437"/>
      <c r="BW95" s="437"/>
      <c r="BX95" s="437"/>
      <c r="BY95" s="437"/>
      <c r="BZ95" s="437"/>
      <c r="CA95" s="437"/>
      <c r="CB95" s="437"/>
      <c r="CC95" s="437"/>
      <c r="CD95" s="437"/>
      <c r="CE95" s="437"/>
      <c r="CF95" s="437"/>
      <c r="CG95" s="437"/>
      <c r="CH95" s="437"/>
      <c r="CI95" s="437"/>
      <c r="CJ95" s="437"/>
      <c r="CK95" s="437"/>
      <c r="CL95" s="437"/>
      <c r="CM95" s="437"/>
      <c r="CN95" s="437"/>
      <c r="CO95" s="437"/>
      <c r="CP95" s="437"/>
      <c r="CQ95" s="437"/>
      <c r="CR95" s="437"/>
      <c r="CS95" s="437"/>
      <c r="CT95" s="437"/>
      <c r="CU95" s="437"/>
      <c r="CV95" s="437"/>
      <c r="CW95" s="437"/>
      <c r="CX95" s="437"/>
      <c r="CY95" s="437"/>
      <c r="CZ95" s="437"/>
      <c r="DA95" s="437"/>
    </row>
    <row r="96" spans="2:105" s="362" customFormat="1" x14ac:dyDescent="0.2">
      <c r="B96" s="12"/>
      <c r="C96" s="12"/>
      <c r="D96" s="13"/>
      <c r="E96" s="12"/>
      <c r="F96" s="12"/>
      <c r="G96" s="13"/>
      <c r="H96" s="12"/>
      <c r="I96" s="437"/>
      <c r="J96" s="437"/>
      <c r="K96" s="437"/>
      <c r="L96" s="437"/>
      <c r="M96" s="437"/>
      <c r="N96" s="437"/>
      <c r="O96" s="437"/>
      <c r="P96" s="437"/>
      <c r="Q96" s="437"/>
      <c r="R96" s="437"/>
      <c r="S96" s="437"/>
      <c r="T96" s="437"/>
      <c r="U96" s="437"/>
      <c r="V96" s="437"/>
      <c r="W96" s="437"/>
      <c r="X96" s="437"/>
      <c r="Y96" s="437"/>
      <c r="Z96" s="437"/>
      <c r="AA96" s="437"/>
      <c r="AB96" s="437"/>
      <c r="AC96" s="437"/>
      <c r="AD96" s="437"/>
      <c r="AE96" s="437"/>
      <c r="AF96" s="437"/>
      <c r="AG96" s="437"/>
      <c r="AH96" s="437"/>
      <c r="AI96" s="437"/>
      <c r="AJ96" s="437"/>
      <c r="AK96" s="437"/>
      <c r="AL96" s="437"/>
      <c r="AM96" s="437"/>
      <c r="AN96" s="437"/>
      <c r="AO96" s="437"/>
      <c r="AP96" s="437"/>
      <c r="AQ96" s="437"/>
      <c r="AR96" s="437"/>
      <c r="AS96" s="437"/>
      <c r="AT96" s="437"/>
      <c r="AU96" s="437"/>
      <c r="AV96" s="437"/>
      <c r="AW96" s="437"/>
      <c r="AX96" s="437"/>
      <c r="AY96" s="437"/>
      <c r="AZ96" s="437"/>
      <c r="BA96" s="437"/>
      <c r="BB96" s="437"/>
      <c r="BC96" s="437"/>
      <c r="BD96" s="437"/>
      <c r="BE96" s="437"/>
      <c r="BF96" s="437"/>
      <c r="BG96" s="437"/>
      <c r="BH96" s="437"/>
      <c r="BI96" s="437"/>
      <c r="BJ96" s="437"/>
      <c r="BK96" s="437"/>
      <c r="BL96" s="437"/>
      <c r="BM96" s="437"/>
      <c r="BN96" s="437"/>
      <c r="BO96" s="437"/>
      <c r="BP96" s="437"/>
      <c r="BQ96" s="437"/>
      <c r="BR96" s="437"/>
      <c r="BS96" s="437"/>
      <c r="BT96" s="437"/>
      <c r="BU96" s="437"/>
      <c r="BV96" s="437"/>
      <c r="BW96" s="437"/>
      <c r="BX96" s="437"/>
      <c r="BY96" s="437"/>
      <c r="BZ96" s="437"/>
      <c r="CA96" s="437"/>
      <c r="CB96" s="437"/>
      <c r="CC96" s="437"/>
      <c r="CD96" s="437"/>
      <c r="CE96" s="437"/>
      <c r="CF96" s="437"/>
      <c r="CG96" s="437"/>
      <c r="CH96" s="437"/>
      <c r="CI96" s="437"/>
      <c r="CJ96" s="437"/>
      <c r="CK96" s="437"/>
      <c r="CL96" s="437"/>
      <c r="CM96" s="437"/>
      <c r="CN96" s="437"/>
      <c r="CO96" s="437"/>
      <c r="CP96" s="437"/>
      <c r="CQ96" s="437"/>
      <c r="CR96" s="437"/>
      <c r="CS96" s="437"/>
      <c r="CT96" s="437"/>
      <c r="CU96" s="437"/>
      <c r="CV96" s="437"/>
      <c r="CW96" s="437"/>
      <c r="CX96" s="437"/>
      <c r="CY96" s="437"/>
      <c r="CZ96" s="437"/>
      <c r="DA96" s="437"/>
    </row>
    <row r="97" spans="2:105" s="362" customFormat="1" x14ac:dyDescent="0.2">
      <c r="B97" s="12"/>
      <c r="C97" s="12"/>
      <c r="D97" s="13"/>
      <c r="E97" s="12"/>
      <c r="F97" s="12"/>
      <c r="G97" s="13"/>
      <c r="H97" s="12"/>
      <c r="I97" s="437"/>
      <c r="J97" s="437"/>
      <c r="K97" s="437"/>
      <c r="L97" s="437"/>
      <c r="M97" s="437"/>
      <c r="N97" s="437"/>
      <c r="O97" s="437"/>
      <c r="P97" s="437"/>
      <c r="Q97" s="437"/>
      <c r="R97" s="437"/>
      <c r="S97" s="437"/>
      <c r="T97" s="437"/>
      <c r="U97" s="437"/>
      <c r="V97" s="437"/>
      <c r="W97" s="437"/>
      <c r="X97" s="437"/>
      <c r="Y97" s="437"/>
      <c r="Z97" s="437"/>
      <c r="AA97" s="437"/>
      <c r="AB97" s="437"/>
      <c r="AC97" s="437"/>
      <c r="AD97" s="437"/>
      <c r="AE97" s="437"/>
      <c r="AF97" s="437"/>
      <c r="AG97" s="437"/>
      <c r="AH97" s="437"/>
      <c r="AI97" s="437"/>
      <c r="AJ97" s="437"/>
      <c r="AK97" s="437"/>
      <c r="AL97" s="437"/>
      <c r="AM97" s="437"/>
      <c r="AN97" s="437"/>
      <c r="AO97" s="437"/>
      <c r="AP97" s="437"/>
      <c r="AQ97" s="437"/>
      <c r="AR97" s="437"/>
      <c r="AS97" s="437"/>
      <c r="AT97" s="437"/>
      <c r="AU97" s="437"/>
      <c r="AV97" s="437"/>
      <c r="AW97" s="437"/>
      <c r="AX97" s="437"/>
      <c r="AY97" s="437"/>
      <c r="AZ97" s="437"/>
      <c r="BA97" s="437"/>
      <c r="BB97" s="437"/>
      <c r="BC97" s="437"/>
      <c r="BD97" s="437"/>
      <c r="BE97" s="437"/>
      <c r="BF97" s="437"/>
      <c r="BG97" s="437"/>
      <c r="BH97" s="437"/>
      <c r="BI97" s="437"/>
      <c r="BJ97" s="437"/>
      <c r="BK97" s="437"/>
      <c r="BL97" s="437"/>
      <c r="BM97" s="437"/>
      <c r="BN97" s="437"/>
      <c r="BO97" s="437"/>
      <c r="BP97" s="437"/>
      <c r="BQ97" s="437"/>
      <c r="BR97" s="437"/>
      <c r="BS97" s="437"/>
      <c r="BT97" s="437"/>
      <c r="BU97" s="437"/>
      <c r="BV97" s="437"/>
      <c r="BW97" s="437"/>
      <c r="BX97" s="437"/>
      <c r="BY97" s="437"/>
      <c r="BZ97" s="437"/>
      <c r="CA97" s="437"/>
      <c r="CB97" s="437"/>
      <c r="CC97" s="437"/>
      <c r="CD97" s="437"/>
      <c r="CE97" s="437"/>
      <c r="CF97" s="437"/>
      <c r="CG97" s="437"/>
      <c r="CH97" s="437"/>
      <c r="CI97" s="437"/>
      <c r="CJ97" s="437"/>
      <c r="CK97" s="437"/>
      <c r="CL97" s="437"/>
      <c r="CM97" s="437"/>
      <c r="CN97" s="437"/>
      <c r="CO97" s="437"/>
      <c r="CP97" s="437"/>
      <c r="CQ97" s="437"/>
      <c r="CR97" s="437"/>
      <c r="CS97" s="437"/>
      <c r="CT97" s="437"/>
      <c r="CU97" s="437"/>
      <c r="CV97" s="437"/>
      <c r="CW97" s="437"/>
      <c r="CX97" s="437"/>
      <c r="CY97" s="437"/>
      <c r="CZ97" s="437"/>
      <c r="DA97" s="437"/>
    </row>
    <row r="98" spans="2:105" s="362" customFormat="1" x14ac:dyDescent="0.2">
      <c r="B98" s="12"/>
      <c r="C98" s="12"/>
      <c r="D98" s="13"/>
      <c r="E98" s="12"/>
      <c r="F98" s="12"/>
      <c r="G98" s="13"/>
      <c r="H98" s="12"/>
      <c r="I98" s="437"/>
      <c r="J98" s="437"/>
      <c r="K98" s="437"/>
      <c r="L98" s="437"/>
      <c r="M98" s="437"/>
      <c r="N98" s="437"/>
      <c r="O98" s="437"/>
      <c r="P98" s="437"/>
      <c r="Q98" s="437"/>
      <c r="R98" s="437"/>
      <c r="S98" s="437"/>
      <c r="T98" s="437"/>
      <c r="U98" s="437"/>
      <c r="V98" s="437"/>
      <c r="W98" s="437"/>
      <c r="X98" s="437"/>
      <c r="Y98" s="437"/>
      <c r="Z98" s="437"/>
      <c r="AA98" s="437"/>
      <c r="AB98" s="437"/>
      <c r="AC98" s="437"/>
      <c r="AD98" s="437"/>
      <c r="AE98" s="437"/>
      <c r="AF98" s="437"/>
      <c r="AG98" s="437"/>
      <c r="AH98" s="437"/>
      <c r="AI98" s="437"/>
      <c r="AJ98" s="437"/>
      <c r="AK98" s="437"/>
      <c r="AL98" s="437"/>
      <c r="AM98" s="437"/>
      <c r="AN98" s="437"/>
      <c r="AO98" s="437"/>
      <c r="AP98" s="437"/>
      <c r="AQ98" s="437"/>
      <c r="AR98" s="437"/>
      <c r="AS98" s="437"/>
      <c r="AT98" s="437"/>
      <c r="AU98" s="437"/>
      <c r="AV98" s="437"/>
      <c r="AW98" s="437"/>
      <c r="AX98" s="437"/>
      <c r="AY98" s="437"/>
      <c r="AZ98" s="437"/>
      <c r="BA98" s="437"/>
      <c r="BB98" s="437"/>
      <c r="BC98" s="437"/>
      <c r="BD98" s="437"/>
      <c r="BE98" s="437"/>
      <c r="BF98" s="437"/>
      <c r="BG98" s="437"/>
      <c r="BH98" s="437"/>
      <c r="BI98" s="437"/>
      <c r="BJ98" s="437"/>
      <c r="BK98" s="437"/>
      <c r="BL98" s="437"/>
      <c r="BM98" s="437"/>
      <c r="BN98" s="437"/>
      <c r="BO98" s="437"/>
      <c r="BP98" s="437"/>
      <c r="BQ98" s="437"/>
      <c r="BR98" s="437"/>
      <c r="BS98" s="437"/>
      <c r="BT98" s="437"/>
      <c r="BU98" s="437"/>
      <c r="BV98" s="437"/>
      <c r="BW98" s="437"/>
      <c r="BX98" s="437"/>
      <c r="BY98" s="437"/>
      <c r="BZ98" s="437"/>
      <c r="CA98" s="437"/>
      <c r="CB98" s="437"/>
      <c r="CC98" s="437"/>
      <c r="CD98" s="437"/>
      <c r="CE98" s="437"/>
      <c r="CF98" s="437"/>
      <c r="CG98" s="437"/>
      <c r="CH98" s="437"/>
      <c r="CI98" s="437"/>
      <c r="CJ98" s="437"/>
      <c r="CK98" s="437"/>
      <c r="CL98" s="437"/>
      <c r="CM98" s="437"/>
      <c r="CN98" s="437"/>
      <c r="CO98" s="437"/>
      <c r="CP98" s="437"/>
      <c r="CQ98" s="437"/>
      <c r="CR98" s="437"/>
      <c r="CS98" s="437"/>
      <c r="CT98" s="437"/>
      <c r="CU98" s="437"/>
      <c r="CV98" s="437"/>
      <c r="CW98" s="437"/>
      <c r="CX98" s="437"/>
      <c r="CY98" s="437"/>
      <c r="CZ98" s="437"/>
      <c r="DA98" s="437"/>
    </row>
    <row r="99" spans="2:105" s="362" customFormat="1" x14ac:dyDescent="0.2">
      <c r="B99" s="12"/>
      <c r="C99" s="12"/>
      <c r="D99" s="13"/>
      <c r="E99" s="12"/>
      <c r="F99" s="12"/>
      <c r="G99" s="13"/>
      <c r="H99" s="12"/>
      <c r="I99" s="437"/>
      <c r="J99" s="437"/>
      <c r="K99" s="437"/>
      <c r="L99" s="437"/>
      <c r="M99" s="437"/>
      <c r="N99" s="437"/>
      <c r="O99" s="437"/>
      <c r="P99" s="437"/>
      <c r="Q99" s="437"/>
      <c r="R99" s="437"/>
      <c r="S99" s="437"/>
      <c r="T99" s="437"/>
      <c r="U99" s="437"/>
      <c r="V99" s="437"/>
      <c r="W99" s="437"/>
      <c r="X99" s="437"/>
      <c r="Y99" s="437"/>
      <c r="Z99" s="437"/>
      <c r="AA99" s="437"/>
      <c r="AB99" s="437"/>
      <c r="AC99" s="437"/>
      <c r="AD99" s="437"/>
      <c r="AE99" s="437"/>
      <c r="AF99" s="437"/>
      <c r="AG99" s="437"/>
      <c r="AH99" s="437"/>
      <c r="AI99" s="437"/>
      <c r="AJ99" s="437"/>
      <c r="AK99" s="437"/>
      <c r="AL99" s="437"/>
      <c r="AM99" s="437"/>
      <c r="AN99" s="437"/>
      <c r="AO99" s="437"/>
      <c r="AP99" s="437"/>
      <c r="AQ99" s="437"/>
      <c r="AR99" s="437"/>
      <c r="AS99" s="437"/>
      <c r="AT99" s="437"/>
      <c r="AU99" s="437"/>
      <c r="AV99" s="437"/>
      <c r="AW99" s="437"/>
      <c r="AX99" s="437"/>
      <c r="AY99" s="437"/>
      <c r="AZ99" s="437"/>
      <c r="BA99" s="437"/>
      <c r="BB99" s="437"/>
      <c r="BC99" s="437"/>
      <c r="BD99" s="437"/>
      <c r="BE99" s="437"/>
      <c r="BF99" s="437"/>
      <c r="BG99" s="437"/>
      <c r="BH99" s="437"/>
      <c r="BI99" s="437"/>
      <c r="BJ99" s="437"/>
      <c r="BK99" s="437"/>
      <c r="BL99" s="437"/>
      <c r="BM99" s="437"/>
      <c r="BN99" s="437"/>
      <c r="BO99" s="437"/>
      <c r="BP99" s="437"/>
      <c r="BQ99" s="437"/>
      <c r="BR99" s="437"/>
      <c r="BS99" s="437"/>
      <c r="BT99" s="437"/>
      <c r="BU99" s="437"/>
      <c r="BV99" s="437"/>
      <c r="BW99" s="437"/>
      <c r="BX99" s="437"/>
      <c r="BY99" s="437"/>
      <c r="BZ99" s="437"/>
      <c r="CA99" s="437"/>
      <c r="CB99" s="437"/>
      <c r="CC99" s="437"/>
      <c r="CD99" s="437"/>
      <c r="CE99" s="437"/>
      <c r="CF99" s="437"/>
      <c r="CG99" s="437"/>
      <c r="CH99" s="437"/>
      <c r="CI99" s="437"/>
      <c r="CJ99" s="437"/>
      <c r="CK99" s="437"/>
      <c r="CL99" s="437"/>
      <c r="CM99" s="437"/>
      <c r="CN99" s="437"/>
      <c r="CO99" s="437"/>
      <c r="CP99" s="437"/>
      <c r="CQ99" s="437"/>
      <c r="CR99" s="437"/>
      <c r="CS99" s="437"/>
      <c r="CT99" s="437"/>
      <c r="CU99" s="437"/>
      <c r="CV99" s="437"/>
      <c r="CW99" s="437"/>
      <c r="CX99" s="437"/>
      <c r="CY99" s="437"/>
      <c r="CZ99" s="437"/>
      <c r="DA99" s="437"/>
    </row>
    <row r="100" spans="2:105" s="362" customFormat="1" x14ac:dyDescent="0.2">
      <c r="B100" s="12"/>
      <c r="C100" s="12"/>
      <c r="D100" s="13"/>
      <c r="E100" s="12"/>
      <c r="F100" s="12"/>
      <c r="G100" s="13"/>
      <c r="H100" s="12"/>
      <c r="I100" s="437"/>
      <c r="J100" s="437"/>
      <c r="K100" s="437"/>
      <c r="L100" s="437"/>
      <c r="M100" s="437"/>
      <c r="N100" s="437"/>
      <c r="O100" s="437"/>
      <c r="P100" s="437"/>
      <c r="Q100" s="437"/>
      <c r="R100" s="437"/>
      <c r="S100" s="437"/>
      <c r="T100" s="437"/>
      <c r="U100" s="437"/>
      <c r="V100" s="437"/>
      <c r="W100" s="437"/>
      <c r="X100" s="437"/>
      <c r="Y100" s="437"/>
      <c r="Z100" s="437"/>
      <c r="AA100" s="437"/>
      <c r="AB100" s="437"/>
      <c r="AC100" s="437"/>
      <c r="AD100" s="437"/>
      <c r="AE100" s="437"/>
      <c r="AF100" s="437"/>
      <c r="AG100" s="437"/>
      <c r="AH100" s="437"/>
      <c r="AI100" s="437"/>
      <c r="AJ100" s="437"/>
      <c r="AK100" s="437"/>
      <c r="AL100" s="437"/>
      <c r="AM100" s="437"/>
      <c r="AN100" s="437"/>
      <c r="AO100" s="437"/>
      <c r="AP100" s="437"/>
      <c r="AQ100" s="437"/>
      <c r="AR100" s="437"/>
      <c r="AS100" s="437"/>
      <c r="AT100" s="437"/>
      <c r="AU100" s="437"/>
      <c r="AV100" s="437"/>
      <c r="AW100" s="437"/>
      <c r="AX100" s="437"/>
      <c r="AY100" s="437"/>
      <c r="AZ100" s="437"/>
      <c r="BA100" s="437"/>
      <c r="BB100" s="437"/>
      <c r="BC100" s="437"/>
      <c r="BD100" s="437"/>
      <c r="BE100" s="437"/>
      <c r="BF100" s="437"/>
      <c r="BG100" s="437"/>
      <c r="BH100" s="437"/>
      <c r="BI100" s="437"/>
      <c r="BJ100" s="437"/>
      <c r="BK100" s="437"/>
      <c r="BL100" s="437"/>
      <c r="BM100" s="437"/>
      <c r="BN100" s="437"/>
      <c r="BO100" s="437"/>
      <c r="BP100" s="437"/>
      <c r="BQ100" s="437"/>
      <c r="BR100" s="437"/>
      <c r="BS100" s="437"/>
      <c r="BT100" s="437"/>
      <c r="BU100" s="437"/>
      <c r="BV100" s="437"/>
      <c r="BW100" s="437"/>
      <c r="BX100" s="437"/>
      <c r="BY100" s="437"/>
      <c r="BZ100" s="437"/>
      <c r="CA100" s="437"/>
      <c r="CB100" s="437"/>
      <c r="CC100" s="437"/>
      <c r="CD100" s="437"/>
      <c r="CE100" s="437"/>
      <c r="CF100" s="437"/>
      <c r="CG100" s="437"/>
      <c r="CH100" s="437"/>
      <c r="CI100" s="437"/>
      <c r="CJ100" s="437"/>
      <c r="CK100" s="437"/>
      <c r="CL100" s="437"/>
      <c r="CM100" s="437"/>
      <c r="CN100" s="437"/>
      <c r="CO100" s="437"/>
      <c r="CP100" s="437"/>
      <c r="CQ100" s="437"/>
      <c r="CR100" s="437"/>
      <c r="CS100" s="437"/>
      <c r="CT100" s="437"/>
      <c r="CU100" s="437"/>
      <c r="CV100" s="437"/>
      <c r="CW100" s="437"/>
      <c r="CX100" s="437"/>
      <c r="CY100" s="437"/>
      <c r="CZ100" s="437"/>
      <c r="DA100" s="437"/>
    </row>
    <row r="101" spans="2:105" s="362" customFormat="1" x14ac:dyDescent="0.2">
      <c r="B101" s="12"/>
      <c r="C101" s="12"/>
      <c r="D101" s="13"/>
      <c r="E101" s="12"/>
      <c r="F101" s="12"/>
      <c r="G101" s="13"/>
      <c r="H101" s="12"/>
      <c r="I101" s="437"/>
      <c r="J101" s="437"/>
      <c r="K101" s="437"/>
      <c r="L101" s="437"/>
      <c r="M101" s="437"/>
      <c r="N101" s="437"/>
      <c r="O101" s="437"/>
      <c r="P101" s="437"/>
      <c r="Q101" s="437"/>
      <c r="R101" s="437"/>
      <c r="S101" s="437"/>
      <c r="T101" s="437"/>
      <c r="U101" s="437"/>
      <c r="V101" s="437"/>
      <c r="W101" s="437"/>
      <c r="X101" s="437"/>
      <c r="Y101" s="437"/>
      <c r="Z101" s="437"/>
      <c r="AA101" s="437"/>
      <c r="AB101" s="437"/>
      <c r="AC101" s="437"/>
      <c r="AD101" s="437"/>
      <c r="AE101" s="437"/>
      <c r="AF101" s="437"/>
      <c r="AG101" s="437"/>
      <c r="AH101" s="437"/>
      <c r="AI101" s="437"/>
      <c r="AJ101" s="437"/>
      <c r="AK101" s="437"/>
      <c r="AL101" s="437"/>
      <c r="AM101" s="437"/>
      <c r="AN101" s="437"/>
      <c r="AO101" s="437"/>
      <c r="AP101" s="437"/>
      <c r="AQ101" s="437"/>
      <c r="AR101" s="437"/>
      <c r="AS101" s="437"/>
      <c r="AT101" s="437"/>
      <c r="AU101" s="437"/>
      <c r="AV101" s="437"/>
      <c r="AW101" s="437"/>
      <c r="AX101" s="437"/>
      <c r="AY101" s="437"/>
      <c r="AZ101" s="437"/>
      <c r="BA101" s="437"/>
      <c r="BB101" s="437"/>
      <c r="BC101" s="437"/>
      <c r="BD101" s="437"/>
      <c r="BE101" s="437"/>
      <c r="BF101" s="437"/>
      <c r="BG101" s="437"/>
      <c r="BH101" s="437"/>
      <c r="BI101" s="437"/>
      <c r="BJ101" s="437"/>
      <c r="BK101" s="437"/>
      <c r="BL101" s="437"/>
      <c r="BM101" s="437"/>
      <c r="BN101" s="437"/>
      <c r="BO101" s="437"/>
      <c r="BP101" s="437"/>
      <c r="BQ101" s="437"/>
      <c r="BR101" s="437"/>
      <c r="BS101" s="437"/>
      <c r="BT101" s="437"/>
      <c r="BU101" s="437"/>
      <c r="BV101" s="437"/>
      <c r="BW101" s="437"/>
      <c r="BX101" s="437"/>
      <c r="BY101" s="437"/>
      <c r="BZ101" s="437"/>
      <c r="CA101" s="437"/>
      <c r="CB101" s="437"/>
      <c r="CC101" s="437"/>
      <c r="CD101" s="437"/>
      <c r="CE101" s="437"/>
      <c r="CF101" s="437"/>
      <c r="CG101" s="437"/>
      <c r="CH101" s="437"/>
      <c r="CI101" s="437"/>
      <c r="CJ101" s="437"/>
      <c r="CK101" s="437"/>
      <c r="CL101" s="437"/>
      <c r="CM101" s="437"/>
      <c r="CN101" s="437"/>
      <c r="CO101" s="437"/>
      <c r="CP101" s="437"/>
      <c r="CQ101" s="437"/>
      <c r="CR101" s="437"/>
      <c r="CS101" s="437"/>
      <c r="CT101" s="437"/>
      <c r="CU101" s="437"/>
      <c r="CV101" s="437"/>
      <c r="CW101" s="437"/>
      <c r="CX101" s="437"/>
      <c r="CY101" s="437"/>
      <c r="CZ101" s="437"/>
      <c r="DA101" s="437"/>
    </row>
    <row r="102" spans="2:105" s="362" customFormat="1" x14ac:dyDescent="0.2">
      <c r="B102" s="12"/>
      <c r="C102" s="12"/>
      <c r="D102" s="13"/>
      <c r="E102" s="12"/>
      <c r="F102" s="12"/>
      <c r="G102" s="13"/>
      <c r="H102" s="12"/>
      <c r="I102" s="437"/>
      <c r="J102" s="437"/>
      <c r="K102" s="437"/>
      <c r="L102" s="437"/>
      <c r="M102" s="437"/>
      <c r="N102" s="437"/>
      <c r="O102" s="437"/>
      <c r="P102" s="437"/>
      <c r="Q102" s="437"/>
      <c r="R102" s="437"/>
      <c r="S102" s="437"/>
      <c r="T102" s="437"/>
      <c r="U102" s="437"/>
      <c r="V102" s="437"/>
      <c r="W102" s="437"/>
      <c r="X102" s="437"/>
      <c r="Y102" s="437"/>
      <c r="Z102" s="437"/>
      <c r="AA102" s="437"/>
      <c r="AB102" s="437"/>
      <c r="AC102" s="437"/>
      <c r="AD102" s="437"/>
      <c r="AE102" s="437"/>
      <c r="AF102" s="437"/>
      <c r="AG102" s="437"/>
      <c r="AH102" s="437"/>
      <c r="AI102" s="437"/>
      <c r="AJ102" s="437"/>
      <c r="AK102" s="437"/>
      <c r="AL102" s="437"/>
      <c r="AM102" s="437"/>
      <c r="AN102" s="437"/>
      <c r="AO102" s="437"/>
      <c r="AP102" s="437"/>
      <c r="AQ102" s="437"/>
      <c r="AR102" s="437"/>
      <c r="AS102" s="437"/>
      <c r="AT102" s="437"/>
      <c r="AU102" s="437"/>
      <c r="AV102" s="437"/>
      <c r="AW102" s="437"/>
      <c r="AX102" s="437"/>
      <c r="AY102" s="437"/>
      <c r="AZ102" s="437"/>
      <c r="BA102" s="437"/>
      <c r="BB102" s="437"/>
      <c r="BC102" s="437"/>
      <c r="BD102" s="437"/>
      <c r="BE102" s="437"/>
      <c r="BF102" s="437"/>
      <c r="BG102" s="437"/>
      <c r="BH102" s="437"/>
      <c r="BI102" s="437"/>
      <c r="BJ102" s="437"/>
      <c r="BK102" s="437"/>
      <c r="BL102" s="437"/>
      <c r="BM102" s="437"/>
      <c r="BN102" s="437"/>
      <c r="BO102" s="437"/>
      <c r="BP102" s="437"/>
      <c r="BQ102" s="437"/>
      <c r="BR102" s="437"/>
      <c r="BS102" s="437"/>
      <c r="BT102" s="437"/>
      <c r="BU102" s="437"/>
      <c r="BV102" s="437"/>
      <c r="BW102" s="437"/>
      <c r="BX102" s="437"/>
      <c r="BY102" s="437"/>
      <c r="BZ102" s="437"/>
      <c r="CA102" s="437"/>
      <c r="CB102" s="437"/>
      <c r="CC102" s="437"/>
      <c r="CD102" s="437"/>
      <c r="CE102" s="437"/>
      <c r="CF102" s="437"/>
      <c r="CG102" s="437"/>
      <c r="CH102" s="437"/>
      <c r="CI102" s="437"/>
      <c r="CJ102" s="437"/>
      <c r="CK102" s="437"/>
      <c r="CL102" s="437"/>
      <c r="CM102" s="437"/>
      <c r="CN102" s="437"/>
      <c r="CO102" s="437"/>
      <c r="CP102" s="437"/>
      <c r="CQ102" s="437"/>
      <c r="CR102" s="437"/>
      <c r="CS102" s="437"/>
      <c r="CT102" s="437"/>
      <c r="CU102" s="437"/>
      <c r="CV102" s="437"/>
      <c r="CW102" s="437"/>
      <c r="CX102" s="437"/>
      <c r="CY102" s="437"/>
      <c r="CZ102" s="437"/>
      <c r="DA102" s="437"/>
    </row>
    <row r="103" spans="2:105" s="362" customFormat="1" x14ac:dyDescent="0.2">
      <c r="B103" s="12"/>
      <c r="C103" s="12"/>
      <c r="D103" s="13"/>
      <c r="E103" s="12"/>
      <c r="F103" s="12"/>
      <c r="G103" s="13"/>
      <c r="H103" s="12"/>
      <c r="I103" s="437"/>
      <c r="J103" s="437"/>
      <c r="K103" s="437"/>
      <c r="L103" s="437"/>
      <c r="M103" s="437"/>
      <c r="N103" s="437"/>
      <c r="O103" s="437"/>
      <c r="P103" s="437"/>
      <c r="Q103" s="437"/>
      <c r="R103" s="437"/>
      <c r="S103" s="437"/>
      <c r="T103" s="437"/>
      <c r="U103" s="437"/>
      <c r="V103" s="437"/>
      <c r="W103" s="437"/>
      <c r="X103" s="437"/>
      <c r="Y103" s="437"/>
      <c r="Z103" s="437"/>
      <c r="AA103" s="437"/>
      <c r="AB103" s="437"/>
      <c r="AC103" s="437"/>
      <c r="AD103" s="437"/>
      <c r="AE103" s="437"/>
      <c r="AF103" s="437"/>
      <c r="AG103" s="437"/>
      <c r="AH103" s="437"/>
      <c r="AI103" s="437"/>
      <c r="AJ103" s="437"/>
      <c r="AK103" s="437"/>
      <c r="AL103" s="437"/>
      <c r="AM103" s="437"/>
      <c r="AN103" s="437"/>
      <c r="AO103" s="437"/>
      <c r="AP103" s="437"/>
      <c r="AQ103" s="437"/>
      <c r="AR103" s="437"/>
      <c r="AS103" s="437"/>
      <c r="AT103" s="437"/>
      <c r="AU103" s="437"/>
      <c r="AV103" s="437"/>
      <c r="AW103" s="437"/>
      <c r="AX103" s="437"/>
      <c r="AY103" s="437"/>
      <c r="AZ103" s="437"/>
      <c r="BA103" s="437"/>
      <c r="BB103" s="437"/>
      <c r="BC103" s="437"/>
      <c r="BD103" s="437"/>
      <c r="BE103" s="437"/>
      <c r="BF103" s="437"/>
      <c r="BG103" s="437"/>
      <c r="BH103" s="437"/>
      <c r="BI103" s="437"/>
      <c r="BJ103" s="437"/>
      <c r="BK103" s="437"/>
      <c r="BL103" s="437"/>
      <c r="BM103" s="437"/>
      <c r="BN103" s="437"/>
      <c r="BO103" s="437"/>
      <c r="BP103" s="437"/>
      <c r="BQ103" s="437"/>
      <c r="BR103" s="437"/>
      <c r="BS103" s="437"/>
      <c r="BT103" s="437"/>
      <c r="BU103" s="437"/>
      <c r="BV103" s="437"/>
      <c r="BW103" s="437"/>
      <c r="BX103" s="437"/>
      <c r="BY103" s="437"/>
      <c r="BZ103" s="437"/>
      <c r="CA103" s="437"/>
      <c r="CB103" s="437"/>
      <c r="CC103" s="437"/>
      <c r="CD103" s="437"/>
      <c r="CE103" s="437"/>
      <c r="CF103" s="437"/>
      <c r="CG103" s="437"/>
      <c r="CH103" s="437"/>
      <c r="CI103" s="437"/>
      <c r="CJ103" s="437"/>
      <c r="CK103" s="437"/>
      <c r="CL103" s="437"/>
      <c r="CM103" s="437"/>
      <c r="CN103" s="437"/>
      <c r="CO103" s="437"/>
      <c r="CP103" s="437"/>
      <c r="CQ103" s="437"/>
      <c r="CR103" s="437"/>
      <c r="CS103" s="437"/>
      <c r="CT103" s="437"/>
      <c r="CU103" s="437"/>
      <c r="CV103" s="437"/>
      <c r="CW103" s="437"/>
      <c r="CX103" s="437"/>
      <c r="CY103" s="437"/>
      <c r="CZ103" s="437"/>
      <c r="DA103" s="437"/>
    </row>
    <row r="104" spans="2:105" s="362" customFormat="1" x14ac:dyDescent="0.2">
      <c r="B104" s="12"/>
      <c r="C104" s="12"/>
      <c r="D104" s="13"/>
      <c r="E104" s="12"/>
      <c r="F104" s="12"/>
      <c r="G104" s="13"/>
      <c r="H104" s="12"/>
      <c r="I104" s="437"/>
      <c r="J104" s="437"/>
      <c r="K104" s="437"/>
      <c r="L104" s="437"/>
      <c r="M104" s="437"/>
      <c r="N104" s="437"/>
      <c r="O104" s="437"/>
      <c r="P104" s="437"/>
      <c r="Q104" s="437"/>
      <c r="R104" s="437"/>
      <c r="S104" s="437"/>
      <c r="T104" s="437"/>
      <c r="U104" s="437"/>
      <c r="V104" s="437"/>
      <c r="W104" s="437"/>
      <c r="X104" s="437"/>
      <c r="Y104" s="437"/>
      <c r="Z104" s="437"/>
      <c r="AA104" s="437"/>
      <c r="AB104" s="437"/>
      <c r="AC104" s="437"/>
      <c r="AD104" s="437"/>
      <c r="AE104" s="437"/>
      <c r="AF104" s="437"/>
      <c r="AG104" s="437"/>
      <c r="AH104" s="437"/>
      <c r="AI104" s="437"/>
      <c r="AJ104" s="437"/>
      <c r="AK104" s="437"/>
      <c r="AL104" s="437"/>
      <c r="AM104" s="437"/>
      <c r="AN104" s="437"/>
      <c r="AO104" s="437"/>
      <c r="AP104" s="437"/>
      <c r="AQ104" s="437"/>
      <c r="AR104" s="437"/>
      <c r="AS104" s="437"/>
      <c r="AT104" s="437"/>
      <c r="AU104" s="437"/>
      <c r="AV104" s="437"/>
      <c r="AW104" s="437"/>
      <c r="AX104" s="437"/>
      <c r="AY104" s="437"/>
      <c r="AZ104" s="437"/>
      <c r="BA104" s="437"/>
      <c r="BB104" s="437"/>
      <c r="BC104" s="437"/>
      <c r="BD104" s="437"/>
      <c r="BE104" s="437"/>
      <c r="BF104" s="437"/>
      <c r="BG104" s="437"/>
      <c r="BH104" s="437"/>
      <c r="BI104" s="437"/>
      <c r="BJ104" s="437"/>
      <c r="BK104" s="437"/>
      <c r="BL104" s="437"/>
      <c r="BM104" s="437"/>
      <c r="BN104" s="437"/>
      <c r="BO104" s="437"/>
      <c r="BP104" s="437"/>
      <c r="BQ104" s="437"/>
      <c r="BR104" s="437"/>
      <c r="BS104" s="437"/>
      <c r="BT104" s="437"/>
      <c r="BU104" s="437"/>
      <c r="BV104" s="437"/>
      <c r="BW104" s="437"/>
      <c r="BX104" s="437"/>
      <c r="BY104" s="437"/>
      <c r="BZ104" s="437"/>
      <c r="CA104" s="437"/>
      <c r="CB104" s="437"/>
      <c r="CC104" s="437"/>
      <c r="CD104" s="437"/>
      <c r="CE104" s="437"/>
      <c r="CF104" s="437"/>
      <c r="CG104" s="437"/>
      <c r="CH104" s="437"/>
      <c r="CI104" s="437"/>
      <c r="CJ104" s="437"/>
      <c r="CK104" s="437"/>
      <c r="CL104" s="437"/>
      <c r="CM104" s="437"/>
      <c r="CN104" s="437"/>
      <c r="CO104" s="437"/>
      <c r="CP104" s="437"/>
      <c r="CQ104" s="437"/>
      <c r="CR104" s="437"/>
      <c r="CS104" s="437"/>
      <c r="CT104" s="437"/>
      <c r="CU104" s="437"/>
      <c r="CV104" s="437"/>
      <c r="CW104" s="437"/>
      <c r="CX104" s="437"/>
      <c r="CY104" s="437"/>
      <c r="CZ104" s="437"/>
      <c r="DA104" s="437"/>
    </row>
    <row r="105" spans="2:105" s="362" customFormat="1" x14ac:dyDescent="0.2">
      <c r="B105" s="12"/>
      <c r="C105" s="12"/>
      <c r="D105" s="13"/>
      <c r="E105" s="12"/>
      <c r="F105" s="12"/>
      <c r="G105" s="13"/>
      <c r="H105" s="12"/>
      <c r="I105" s="437"/>
      <c r="J105" s="437"/>
      <c r="K105" s="437"/>
      <c r="L105" s="437"/>
      <c r="M105" s="437"/>
      <c r="N105" s="437"/>
      <c r="O105" s="437"/>
      <c r="P105" s="437"/>
      <c r="Q105" s="437"/>
      <c r="R105" s="437"/>
      <c r="S105" s="437"/>
      <c r="T105" s="437"/>
      <c r="U105" s="437"/>
      <c r="V105" s="437"/>
      <c r="W105" s="437"/>
      <c r="X105" s="437"/>
      <c r="Y105" s="437"/>
      <c r="Z105" s="437"/>
      <c r="AA105" s="437"/>
      <c r="AB105" s="437"/>
      <c r="AC105" s="437"/>
      <c r="AD105" s="437"/>
      <c r="AE105" s="437"/>
      <c r="AF105" s="437"/>
      <c r="AG105" s="437"/>
      <c r="AH105" s="437"/>
      <c r="AI105" s="437"/>
      <c r="AJ105" s="437"/>
      <c r="AK105" s="437"/>
      <c r="AL105" s="437"/>
      <c r="AM105" s="437"/>
      <c r="AN105" s="437"/>
      <c r="AO105" s="437"/>
      <c r="AP105" s="437"/>
      <c r="AQ105" s="437"/>
      <c r="AR105" s="437"/>
      <c r="AS105" s="437"/>
      <c r="AT105" s="437"/>
      <c r="AU105" s="437"/>
      <c r="AV105" s="437"/>
      <c r="AW105" s="437"/>
      <c r="AX105" s="437"/>
      <c r="AY105" s="437"/>
      <c r="AZ105" s="437"/>
      <c r="BA105" s="437"/>
      <c r="BB105" s="437"/>
      <c r="BC105" s="437"/>
      <c r="BD105" s="437"/>
      <c r="BE105" s="437"/>
      <c r="BF105" s="437"/>
      <c r="BG105" s="437"/>
      <c r="BH105" s="437"/>
      <c r="BI105" s="437"/>
      <c r="BJ105" s="437"/>
      <c r="BK105" s="437"/>
      <c r="BL105" s="437"/>
      <c r="BM105" s="437"/>
      <c r="BN105" s="437"/>
      <c r="BO105" s="437"/>
      <c r="BP105" s="437"/>
      <c r="BQ105" s="437"/>
      <c r="BR105" s="437"/>
      <c r="BS105" s="437"/>
      <c r="BT105" s="437"/>
      <c r="BU105" s="437"/>
      <c r="BV105" s="437"/>
      <c r="BW105" s="437"/>
      <c r="BX105" s="437"/>
      <c r="BY105" s="437"/>
      <c r="BZ105" s="437"/>
      <c r="CA105" s="437"/>
      <c r="CB105" s="437"/>
      <c r="CC105" s="437"/>
      <c r="CD105" s="437"/>
      <c r="CE105" s="437"/>
      <c r="CF105" s="437"/>
      <c r="CG105" s="437"/>
      <c r="CH105" s="437"/>
      <c r="CI105" s="437"/>
      <c r="CJ105" s="437"/>
      <c r="CK105" s="437"/>
      <c r="CL105" s="437"/>
      <c r="CM105" s="437"/>
      <c r="CN105" s="437"/>
      <c r="CO105" s="437"/>
      <c r="CP105" s="437"/>
      <c r="CQ105" s="437"/>
      <c r="CR105" s="437"/>
      <c r="CS105" s="437"/>
      <c r="CT105" s="437"/>
      <c r="CU105" s="437"/>
      <c r="CV105" s="437"/>
      <c r="CW105" s="437"/>
      <c r="CX105" s="437"/>
      <c r="CY105" s="437"/>
      <c r="CZ105" s="437"/>
      <c r="DA105" s="437"/>
    </row>
    <row r="106" spans="2:105" s="362" customFormat="1" x14ac:dyDescent="0.2">
      <c r="B106" s="12"/>
      <c r="C106" s="12"/>
      <c r="D106" s="13"/>
      <c r="E106" s="12"/>
      <c r="F106" s="12"/>
      <c r="G106" s="13"/>
      <c r="H106" s="12"/>
      <c r="I106" s="437"/>
      <c r="J106" s="437"/>
      <c r="K106" s="437"/>
      <c r="L106" s="437"/>
      <c r="M106" s="437"/>
      <c r="N106" s="437"/>
      <c r="O106" s="437"/>
      <c r="P106" s="437"/>
      <c r="Q106" s="437"/>
      <c r="R106" s="437"/>
      <c r="S106" s="437"/>
      <c r="T106" s="437"/>
      <c r="U106" s="437"/>
      <c r="V106" s="437"/>
      <c r="W106" s="437"/>
      <c r="X106" s="437"/>
      <c r="Y106" s="437"/>
      <c r="Z106" s="437"/>
      <c r="AA106" s="437"/>
      <c r="AB106" s="437"/>
      <c r="AC106" s="437"/>
      <c r="AD106" s="437"/>
      <c r="AE106" s="437"/>
      <c r="AF106" s="437"/>
      <c r="AG106" s="437"/>
      <c r="AH106" s="437"/>
      <c r="AI106" s="437"/>
      <c r="AJ106" s="437"/>
      <c r="AK106" s="437"/>
      <c r="AL106" s="437"/>
      <c r="AM106" s="437"/>
      <c r="AN106" s="437"/>
      <c r="AO106" s="437"/>
      <c r="AP106" s="437"/>
      <c r="AQ106" s="437"/>
      <c r="AR106" s="437"/>
      <c r="AS106" s="437"/>
      <c r="AT106" s="437"/>
      <c r="AU106" s="437"/>
      <c r="AV106" s="437"/>
      <c r="AW106" s="437"/>
      <c r="AX106" s="437"/>
      <c r="AY106" s="437"/>
      <c r="AZ106" s="437"/>
      <c r="BA106" s="437"/>
      <c r="BB106" s="437"/>
      <c r="BC106" s="437"/>
      <c r="BD106" s="437"/>
      <c r="BE106" s="437"/>
      <c r="BF106" s="437"/>
      <c r="BG106" s="437"/>
      <c r="BH106" s="437"/>
      <c r="BI106" s="437"/>
      <c r="BJ106" s="437"/>
      <c r="BK106" s="437"/>
      <c r="BL106" s="437"/>
      <c r="BM106" s="437"/>
      <c r="BN106" s="437"/>
      <c r="BO106" s="437"/>
      <c r="BP106" s="437"/>
      <c r="BQ106" s="437"/>
      <c r="BR106" s="437"/>
      <c r="BS106" s="437"/>
      <c r="BT106" s="437"/>
      <c r="BU106" s="437"/>
      <c r="BV106" s="437"/>
      <c r="BW106" s="437"/>
      <c r="BX106" s="437"/>
      <c r="BY106" s="437"/>
      <c r="BZ106" s="437"/>
      <c r="CA106" s="437"/>
      <c r="CB106" s="437"/>
      <c r="CC106" s="437"/>
      <c r="CD106" s="437"/>
      <c r="CE106" s="437"/>
      <c r="CF106" s="437"/>
      <c r="CG106" s="437"/>
      <c r="CH106" s="437"/>
      <c r="CI106" s="437"/>
      <c r="CJ106" s="437"/>
      <c r="CK106" s="437"/>
      <c r="CL106" s="437"/>
      <c r="CM106" s="437"/>
      <c r="CN106" s="437"/>
      <c r="CO106" s="437"/>
      <c r="CP106" s="437"/>
      <c r="CQ106" s="437"/>
      <c r="CR106" s="437"/>
      <c r="CS106" s="437"/>
      <c r="CT106" s="437"/>
      <c r="CU106" s="437"/>
      <c r="CV106" s="437"/>
      <c r="CW106" s="437"/>
      <c r="CX106" s="437"/>
      <c r="CY106" s="437"/>
      <c r="CZ106" s="437"/>
      <c r="DA106" s="437"/>
    </row>
    <row r="107" spans="2:105" s="362" customFormat="1" x14ac:dyDescent="0.2">
      <c r="B107" s="12"/>
      <c r="C107" s="12"/>
      <c r="D107" s="13"/>
      <c r="E107" s="12"/>
      <c r="F107" s="12"/>
      <c r="G107" s="13"/>
      <c r="H107" s="12"/>
      <c r="I107" s="437"/>
      <c r="J107" s="437"/>
      <c r="K107" s="437"/>
      <c r="L107" s="437"/>
      <c r="M107" s="437"/>
      <c r="N107" s="437"/>
      <c r="O107" s="437"/>
      <c r="P107" s="437"/>
      <c r="Q107" s="437"/>
      <c r="R107" s="437"/>
      <c r="S107" s="437"/>
      <c r="T107" s="437"/>
      <c r="U107" s="437"/>
      <c r="V107" s="437"/>
      <c r="W107" s="437"/>
      <c r="X107" s="437"/>
      <c r="Y107" s="437"/>
      <c r="Z107" s="437"/>
      <c r="AA107" s="437"/>
      <c r="AB107" s="437"/>
      <c r="AC107" s="437"/>
      <c r="AD107" s="437"/>
      <c r="AE107" s="437"/>
      <c r="AF107" s="437"/>
      <c r="AG107" s="437"/>
      <c r="AH107" s="437"/>
      <c r="AI107" s="437"/>
      <c r="AJ107" s="437"/>
      <c r="AK107" s="437"/>
      <c r="AL107" s="437"/>
      <c r="AM107" s="437"/>
      <c r="AN107" s="437"/>
      <c r="AO107" s="437"/>
      <c r="AP107" s="437"/>
      <c r="AQ107" s="437"/>
      <c r="AR107" s="437"/>
      <c r="AS107" s="437"/>
      <c r="AT107" s="437"/>
      <c r="AU107" s="437"/>
      <c r="AV107" s="437"/>
      <c r="AW107" s="437"/>
      <c r="AX107" s="437"/>
      <c r="AY107" s="437"/>
      <c r="AZ107" s="437"/>
      <c r="BA107" s="437"/>
      <c r="BB107" s="437"/>
      <c r="BC107" s="437"/>
      <c r="BD107" s="437"/>
      <c r="BE107" s="437"/>
      <c r="BF107" s="437"/>
      <c r="BG107" s="437"/>
      <c r="BH107" s="437"/>
      <c r="BI107" s="437"/>
      <c r="BJ107" s="437"/>
      <c r="BK107" s="437"/>
      <c r="BL107" s="437"/>
      <c r="BM107" s="437"/>
      <c r="BN107" s="437"/>
      <c r="BO107" s="437"/>
      <c r="BP107" s="437"/>
      <c r="BQ107" s="437"/>
      <c r="BR107" s="437"/>
      <c r="BS107" s="437"/>
      <c r="BT107" s="437"/>
      <c r="BU107" s="437"/>
      <c r="BV107" s="437"/>
      <c r="BW107" s="437"/>
      <c r="BX107" s="437"/>
      <c r="BY107" s="437"/>
      <c r="BZ107" s="437"/>
      <c r="CA107" s="437"/>
      <c r="CB107" s="437"/>
      <c r="CC107" s="437"/>
      <c r="CD107" s="437"/>
      <c r="CE107" s="437"/>
      <c r="CF107" s="437"/>
      <c r="CG107" s="437"/>
      <c r="CH107" s="437"/>
      <c r="CI107" s="437"/>
      <c r="CJ107" s="437"/>
      <c r="CK107" s="437"/>
      <c r="CL107" s="437"/>
      <c r="CM107" s="437"/>
      <c r="CN107" s="437"/>
      <c r="CO107" s="437"/>
      <c r="CP107" s="437"/>
      <c r="CQ107" s="437"/>
      <c r="CR107" s="437"/>
      <c r="CS107" s="437"/>
      <c r="CT107" s="437"/>
      <c r="CU107" s="437"/>
      <c r="CV107" s="437"/>
      <c r="CW107" s="437"/>
      <c r="CX107" s="437"/>
      <c r="CY107" s="437"/>
      <c r="CZ107" s="437"/>
      <c r="DA107" s="437"/>
    </row>
    <row r="108" spans="2:105" s="362" customFormat="1" x14ac:dyDescent="0.2">
      <c r="B108" s="12"/>
      <c r="C108" s="12"/>
      <c r="D108" s="13"/>
      <c r="E108" s="12"/>
      <c r="F108" s="12"/>
      <c r="G108" s="13"/>
      <c r="H108" s="12"/>
      <c r="I108" s="437"/>
      <c r="J108" s="437"/>
      <c r="K108" s="437"/>
      <c r="L108" s="437"/>
      <c r="M108" s="437"/>
      <c r="N108" s="437"/>
      <c r="O108" s="437"/>
      <c r="P108" s="437"/>
      <c r="Q108" s="437"/>
      <c r="R108" s="437"/>
      <c r="S108" s="437"/>
      <c r="T108" s="437"/>
      <c r="U108" s="437"/>
      <c r="V108" s="437"/>
      <c r="W108" s="437"/>
      <c r="X108" s="437"/>
      <c r="Y108" s="437"/>
      <c r="Z108" s="437"/>
      <c r="AA108" s="437"/>
      <c r="AB108" s="437"/>
      <c r="AC108" s="437"/>
      <c r="AD108" s="437"/>
      <c r="AE108" s="437"/>
      <c r="AF108" s="437"/>
      <c r="AG108" s="437"/>
      <c r="AH108" s="437"/>
      <c r="AI108" s="437"/>
      <c r="AJ108" s="437"/>
      <c r="AK108" s="437"/>
      <c r="AL108" s="437"/>
      <c r="AM108" s="437"/>
      <c r="AN108" s="437"/>
      <c r="AO108" s="437"/>
      <c r="AP108" s="437"/>
      <c r="AQ108" s="437"/>
      <c r="AR108" s="437"/>
      <c r="AS108" s="437"/>
      <c r="AT108" s="437"/>
      <c r="AU108" s="437"/>
      <c r="AV108" s="437"/>
      <c r="AW108" s="437"/>
      <c r="AX108" s="437"/>
      <c r="AY108" s="437"/>
      <c r="AZ108" s="437"/>
      <c r="BA108" s="437"/>
      <c r="BB108" s="437"/>
      <c r="BC108" s="437"/>
      <c r="BD108" s="437"/>
      <c r="BE108" s="437"/>
      <c r="BF108" s="437"/>
      <c r="BG108" s="437"/>
      <c r="BH108" s="437"/>
      <c r="BI108" s="437"/>
      <c r="BJ108" s="437"/>
      <c r="BK108" s="437"/>
      <c r="BL108" s="437"/>
      <c r="BM108" s="437"/>
      <c r="BN108" s="437"/>
      <c r="BO108" s="437"/>
      <c r="BP108" s="437"/>
      <c r="BQ108" s="437"/>
      <c r="BR108" s="437"/>
      <c r="BS108" s="437"/>
      <c r="BT108" s="437"/>
      <c r="BU108" s="437"/>
      <c r="BV108" s="437"/>
      <c r="BW108" s="437"/>
      <c r="BX108" s="437"/>
      <c r="BY108" s="437"/>
      <c r="BZ108" s="437"/>
      <c r="CA108" s="437"/>
      <c r="CB108" s="437"/>
      <c r="CC108" s="437"/>
      <c r="CD108" s="437"/>
      <c r="CE108" s="437"/>
      <c r="CF108" s="437"/>
      <c r="CG108" s="437"/>
      <c r="CH108" s="437"/>
      <c r="CI108" s="437"/>
      <c r="CJ108" s="437"/>
      <c r="CK108" s="437"/>
      <c r="CL108" s="437"/>
      <c r="CM108" s="437"/>
      <c r="CN108" s="437"/>
      <c r="CO108" s="437"/>
      <c r="CP108" s="437"/>
      <c r="CQ108" s="437"/>
      <c r="CR108" s="437"/>
      <c r="CS108" s="437"/>
      <c r="CT108" s="437"/>
      <c r="CU108" s="437"/>
      <c r="CV108" s="437"/>
      <c r="CW108" s="437"/>
      <c r="CX108" s="437"/>
      <c r="CY108" s="437"/>
      <c r="CZ108" s="437"/>
      <c r="DA108" s="437"/>
    </row>
    <row r="109" spans="2:105" s="362" customFormat="1" x14ac:dyDescent="0.2">
      <c r="B109" s="12"/>
      <c r="C109" s="12"/>
      <c r="D109" s="13"/>
      <c r="E109" s="12"/>
      <c r="F109" s="12"/>
      <c r="G109" s="13"/>
      <c r="H109" s="12"/>
      <c r="I109" s="437"/>
      <c r="J109" s="437"/>
      <c r="K109" s="437"/>
      <c r="L109" s="437"/>
      <c r="M109" s="437"/>
      <c r="N109" s="437"/>
      <c r="O109" s="437"/>
      <c r="P109" s="437"/>
      <c r="Q109" s="437"/>
      <c r="R109" s="437"/>
      <c r="S109" s="437"/>
      <c r="T109" s="437"/>
      <c r="U109" s="437"/>
      <c r="V109" s="437"/>
      <c r="W109" s="437"/>
      <c r="X109" s="437"/>
      <c r="Y109" s="437"/>
      <c r="Z109" s="437"/>
      <c r="AA109" s="437"/>
      <c r="AB109" s="437"/>
      <c r="AC109" s="437"/>
      <c r="AD109" s="437"/>
      <c r="AE109" s="437"/>
      <c r="AF109" s="437"/>
      <c r="AG109" s="437"/>
      <c r="AH109" s="437"/>
      <c r="AI109" s="437"/>
      <c r="AJ109" s="437"/>
      <c r="AK109" s="437"/>
      <c r="AL109" s="437"/>
      <c r="AM109" s="437"/>
      <c r="AN109" s="437"/>
      <c r="AO109" s="437"/>
      <c r="AP109" s="437"/>
      <c r="AQ109" s="437"/>
      <c r="AR109" s="437"/>
      <c r="AS109" s="437"/>
      <c r="AT109" s="437"/>
      <c r="AU109" s="437"/>
      <c r="AV109" s="437"/>
      <c r="AW109" s="437"/>
      <c r="AX109" s="437"/>
      <c r="AY109" s="437"/>
      <c r="AZ109" s="437"/>
      <c r="BA109" s="437"/>
      <c r="BB109" s="437"/>
      <c r="BC109" s="437"/>
      <c r="BD109" s="437"/>
      <c r="BE109" s="437"/>
      <c r="BF109" s="437"/>
      <c r="BG109" s="437"/>
      <c r="BH109" s="437"/>
      <c r="BI109" s="437"/>
      <c r="BJ109" s="437"/>
      <c r="BK109" s="437"/>
      <c r="BL109" s="437"/>
      <c r="BM109" s="437"/>
      <c r="BN109" s="437"/>
      <c r="BO109" s="437"/>
      <c r="BP109" s="437"/>
      <c r="BQ109" s="437"/>
      <c r="BR109" s="437"/>
      <c r="BS109" s="437"/>
      <c r="BT109" s="437"/>
      <c r="BU109" s="437"/>
      <c r="BV109" s="437"/>
      <c r="BW109" s="437"/>
      <c r="BX109" s="437"/>
      <c r="BY109" s="437"/>
      <c r="BZ109" s="437"/>
      <c r="CA109" s="437"/>
      <c r="CB109" s="437"/>
      <c r="CC109" s="437"/>
      <c r="CD109" s="437"/>
      <c r="CE109" s="437"/>
      <c r="CF109" s="437"/>
      <c r="CG109" s="437"/>
      <c r="CH109" s="437"/>
      <c r="CI109" s="437"/>
      <c r="CJ109" s="437"/>
      <c r="CK109" s="437"/>
      <c r="CL109" s="437"/>
      <c r="CM109" s="437"/>
      <c r="CN109" s="437"/>
      <c r="CO109" s="437"/>
      <c r="CP109" s="437"/>
      <c r="CQ109" s="437"/>
      <c r="CR109" s="437"/>
      <c r="CS109" s="437"/>
      <c r="CT109" s="437"/>
      <c r="CU109" s="437"/>
      <c r="CV109" s="437"/>
      <c r="CW109" s="437"/>
      <c r="CX109" s="437"/>
      <c r="CY109" s="437"/>
      <c r="CZ109" s="437"/>
      <c r="DA109" s="437"/>
    </row>
    <row r="110" spans="2:105" s="362" customFormat="1" x14ac:dyDescent="0.2">
      <c r="B110" s="12"/>
      <c r="C110" s="12"/>
      <c r="D110" s="13"/>
      <c r="E110" s="12"/>
      <c r="F110" s="12"/>
      <c r="G110" s="13"/>
      <c r="H110" s="12"/>
      <c r="I110" s="437"/>
      <c r="J110" s="437"/>
      <c r="K110" s="437"/>
      <c r="L110" s="437"/>
      <c r="M110" s="437"/>
      <c r="N110" s="437"/>
      <c r="O110" s="437"/>
      <c r="P110" s="437"/>
      <c r="Q110" s="437"/>
      <c r="R110" s="437"/>
      <c r="S110" s="437"/>
      <c r="T110" s="437"/>
      <c r="U110" s="437"/>
      <c r="V110" s="437"/>
      <c r="W110" s="437"/>
      <c r="X110" s="437"/>
      <c r="Y110" s="437"/>
      <c r="Z110" s="437"/>
      <c r="AA110" s="437"/>
      <c r="AB110" s="437"/>
      <c r="AC110" s="437"/>
      <c r="AD110" s="437"/>
      <c r="AE110" s="437"/>
      <c r="AF110" s="437"/>
      <c r="AG110" s="437"/>
      <c r="AH110" s="437"/>
      <c r="AI110" s="437"/>
      <c r="AJ110" s="437"/>
      <c r="AK110" s="437"/>
      <c r="AL110" s="437"/>
      <c r="AM110" s="437"/>
      <c r="AN110" s="437"/>
      <c r="AO110" s="437"/>
      <c r="AP110" s="437"/>
      <c r="AQ110" s="437"/>
      <c r="AR110" s="437"/>
      <c r="AS110" s="437"/>
      <c r="AT110" s="437"/>
      <c r="AU110" s="437"/>
      <c r="AV110" s="437"/>
      <c r="AW110" s="437"/>
      <c r="AX110" s="437"/>
      <c r="AY110" s="437"/>
      <c r="AZ110" s="437"/>
      <c r="BA110" s="437"/>
      <c r="BB110" s="437"/>
      <c r="BC110" s="437"/>
      <c r="BD110" s="437"/>
      <c r="BE110" s="437"/>
      <c r="BF110" s="437"/>
      <c r="BG110" s="437"/>
      <c r="BH110" s="437"/>
      <c r="BI110" s="437"/>
      <c r="BJ110" s="437"/>
      <c r="BK110" s="437"/>
      <c r="BL110" s="437"/>
      <c r="BM110" s="437"/>
      <c r="BN110" s="437"/>
      <c r="BO110" s="437"/>
      <c r="BP110" s="437"/>
      <c r="BQ110" s="437"/>
      <c r="BR110" s="437"/>
      <c r="BS110" s="437"/>
      <c r="BT110" s="437"/>
      <c r="BU110" s="437"/>
      <c r="BV110" s="437"/>
      <c r="BW110" s="437"/>
      <c r="BX110" s="437"/>
      <c r="BY110" s="437"/>
      <c r="BZ110" s="437"/>
      <c r="CA110" s="437"/>
      <c r="CB110" s="437"/>
      <c r="CC110" s="437"/>
      <c r="CD110" s="437"/>
      <c r="CE110" s="437"/>
      <c r="CF110" s="437"/>
      <c r="CG110" s="437"/>
      <c r="CH110" s="437"/>
      <c r="CI110" s="437"/>
      <c r="CJ110" s="437"/>
      <c r="CK110" s="437"/>
      <c r="CL110" s="437"/>
      <c r="CM110" s="437"/>
      <c r="CN110" s="437"/>
      <c r="CO110" s="437"/>
      <c r="CP110" s="437"/>
      <c r="CQ110" s="437"/>
      <c r="CR110" s="437"/>
      <c r="CS110" s="437"/>
      <c r="CT110" s="437"/>
      <c r="CU110" s="437"/>
      <c r="CV110" s="437"/>
      <c r="CW110" s="437"/>
      <c r="CX110" s="437"/>
      <c r="CY110" s="437"/>
      <c r="CZ110" s="437"/>
      <c r="DA110" s="437"/>
    </row>
    <row r="111" spans="2:105" s="362" customFormat="1" x14ac:dyDescent="0.2">
      <c r="B111" s="12"/>
      <c r="C111" s="12"/>
      <c r="D111" s="13"/>
      <c r="E111" s="12"/>
      <c r="F111" s="12"/>
      <c r="G111" s="13"/>
      <c r="H111" s="12"/>
      <c r="I111" s="437"/>
      <c r="J111" s="437"/>
      <c r="K111" s="437"/>
      <c r="L111" s="437"/>
      <c r="M111" s="437"/>
      <c r="N111" s="437"/>
      <c r="O111" s="437"/>
      <c r="P111" s="437"/>
      <c r="Q111" s="437"/>
      <c r="R111" s="437"/>
      <c r="S111" s="437"/>
      <c r="T111" s="437"/>
      <c r="U111" s="437"/>
      <c r="V111" s="437"/>
      <c r="W111" s="437"/>
      <c r="X111" s="437"/>
      <c r="Y111" s="437"/>
      <c r="Z111" s="437"/>
      <c r="AA111" s="437"/>
      <c r="AB111" s="437"/>
      <c r="AC111" s="437"/>
      <c r="AD111" s="437"/>
      <c r="AE111" s="437"/>
      <c r="AF111" s="437"/>
      <c r="AG111" s="437"/>
      <c r="AH111" s="437"/>
      <c r="AI111" s="437"/>
      <c r="AJ111" s="437"/>
      <c r="AK111" s="437"/>
      <c r="AL111" s="437"/>
      <c r="AM111" s="437"/>
      <c r="AN111" s="437"/>
      <c r="AO111" s="437"/>
      <c r="AP111" s="437"/>
      <c r="AQ111" s="437"/>
      <c r="AR111" s="437"/>
      <c r="AS111" s="437"/>
      <c r="AT111" s="437"/>
      <c r="AU111" s="437"/>
      <c r="AV111" s="437"/>
      <c r="AW111" s="437"/>
      <c r="AX111" s="437"/>
      <c r="AY111" s="437"/>
      <c r="AZ111" s="437"/>
      <c r="BA111" s="437"/>
      <c r="BB111" s="437"/>
      <c r="BC111" s="437"/>
      <c r="BD111" s="437"/>
      <c r="BE111" s="437"/>
      <c r="BF111" s="437"/>
      <c r="BG111" s="437"/>
      <c r="BH111" s="437"/>
      <c r="BI111" s="437"/>
      <c r="BJ111" s="437"/>
      <c r="BK111" s="437"/>
      <c r="BL111" s="437"/>
      <c r="BM111" s="437"/>
      <c r="BN111" s="437"/>
      <c r="BO111" s="437"/>
      <c r="BP111" s="437"/>
      <c r="BQ111" s="437"/>
      <c r="BR111" s="437"/>
      <c r="BS111" s="437"/>
      <c r="BT111" s="437"/>
      <c r="BU111" s="437"/>
      <c r="BV111" s="437"/>
      <c r="BW111" s="437"/>
      <c r="BX111" s="437"/>
      <c r="BY111" s="437"/>
      <c r="BZ111" s="437"/>
      <c r="CA111" s="437"/>
      <c r="CB111" s="437"/>
      <c r="CC111" s="437"/>
      <c r="CD111" s="437"/>
      <c r="CE111" s="437"/>
      <c r="CF111" s="437"/>
      <c r="CG111" s="437"/>
      <c r="CH111" s="437"/>
      <c r="CI111" s="437"/>
      <c r="CJ111" s="437"/>
      <c r="CK111" s="437"/>
      <c r="CL111" s="437"/>
      <c r="CM111" s="437"/>
      <c r="CN111" s="437"/>
      <c r="CO111" s="437"/>
      <c r="CP111" s="437"/>
      <c r="CQ111" s="437"/>
      <c r="CR111" s="437"/>
      <c r="CS111" s="437"/>
      <c r="CT111" s="437"/>
      <c r="CU111" s="437"/>
      <c r="CV111" s="437"/>
      <c r="CW111" s="437"/>
      <c r="CX111" s="437"/>
      <c r="CY111" s="437"/>
      <c r="CZ111" s="437"/>
      <c r="DA111" s="437"/>
    </row>
    <row r="112" spans="2:105" s="362" customFormat="1" x14ac:dyDescent="0.2">
      <c r="B112" s="12"/>
      <c r="C112" s="12"/>
      <c r="D112" s="13"/>
      <c r="E112" s="12"/>
      <c r="F112" s="12"/>
      <c r="G112" s="13"/>
      <c r="H112" s="12"/>
      <c r="I112" s="437"/>
      <c r="J112" s="437"/>
      <c r="K112" s="437"/>
      <c r="L112" s="437"/>
      <c r="M112" s="437"/>
      <c r="N112" s="437"/>
      <c r="O112" s="437"/>
      <c r="P112" s="437"/>
      <c r="Q112" s="437"/>
      <c r="R112" s="437"/>
      <c r="S112" s="437"/>
      <c r="T112" s="437"/>
      <c r="U112" s="437"/>
      <c r="V112" s="437"/>
      <c r="W112" s="437"/>
      <c r="X112" s="437"/>
      <c r="Y112" s="437"/>
      <c r="Z112" s="437"/>
      <c r="AA112" s="437"/>
      <c r="AB112" s="437"/>
      <c r="AC112" s="437"/>
      <c r="AD112" s="437"/>
      <c r="AE112" s="437"/>
      <c r="AF112" s="437"/>
      <c r="AG112" s="437"/>
      <c r="AH112" s="437"/>
      <c r="AI112" s="437"/>
      <c r="AJ112" s="437"/>
      <c r="AK112" s="437"/>
      <c r="AL112" s="437"/>
      <c r="AM112" s="437"/>
      <c r="AN112" s="437"/>
      <c r="AO112" s="437"/>
      <c r="AP112" s="437"/>
      <c r="AQ112" s="437"/>
      <c r="AR112" s="437"/>
      <c r="AS112" s="437"/>
      <c r="AT112" s="437"/>
      <c r="AU112" s="437"/>
      <c r="AV112" s="437"/>
      <c r="AW112" s="437"/>
      <c r="AX112" s="437"/>
      <c r="AY112" s="437"/>
      <c r="AZ112" s="437"/>
      <c r="BA112" s="437"/>
      <c r="BB112" s="437"/>
      <c r="BC112" s="437"/>
      <c r="BD112" s="437"/>
      <c r="BE112" s="437"/>
      <c r="BF112" s="437"/>
      <c r="BG112" s="437"/>
      <c r="BH112" s="437"/>
      <c r="BI112" s="437"/>
      <c r="BJ112" s="437"/>
      <c r="BK112" s="437"/>
      <c r="BL112" s="437"/>
      <c r="BM112" s="437"/>
      <c r="BN112" s="437"/>
      <c r="BO112" s="437"/>
      <c r="BP112" s="437"/>
      <c r="BQ112" s="437"/>
      <c r="BR112" s="437"/>
      <c r="BS112" s="437"/>
      <c r="BT112" s="437"/>
      <c r="BU112" s="437"/>
      <c r="BV112" s="437"/>
      <c r="BW112" s="437"/>
      <c r="BX112" s="437"/>
      <c r="BY112" s="437"/>
      <c r="BZ112" s="437"/>
      <c r="CA112" s="437"/>
      <c r="CB112" s="437"/>
      <c r="CC112" s="437"/>
      <c r="CD112" s="437"/>
      <c r="CE112" s="437"/>
      <c r="CF112" s="437"/>
      <c r="CG112" s="437"/>
      <c r="CH112" s="437"/>
      <c r="CI112" s="437"/>
      <c r="CJ112" s="437"/>
      <c r="CK112" s="437"/>
      <c r="CL112" s="437"/>
      <c r="CM112" s="437"/>
      <c r="CN112" s="437"/>
      <c r="CO112" s="437"/>
      <c r="CP112" s="437"/>
      <c r="CQ112" s="437"/>
      <c r="CR112" s="437"/>
      <c r="CS112" s="437"/>
      <c r="CT112" s="437"/>
      <c r="CU112" s="437"/>
      <c r="CV112" s="437"/>
      <c r="CW112" s="437"/>
      <c r="CX112" s="437"/>
      <c r="CY112" s="437"/>
      <c r="CZ112" s="437"/>
      <c r="DA112" s="437"/>
    </row>
    <row r="113" spans="2:105" s="362" customFormat="1" x14ac:dyDescent="0.2">
      <c r="B113" s="12"/>
      <c r="C113" s="12"/>
      <c r="D113" s="13"/>
      <c r="E113" s="12"/>
      <c r="F113" s="12"/>
      <c r="G113" s="13"/>
      <c r="H113" s="12"/>
      <c r="I113" s="437"/>
      <c r="J113" s="437"/>
      <c r="K113" s="437"/>
      <c r="L113" s="437"/>
      <c r="M113" s="437"/>
      <c r="N113" s="437"/>
      <c r="O113" s="437"/>
      <c r="P113" s="437"/>
      <c r="Q113" s="437"/>
      <c r="R113" s="437"/>
      <c r="S113" s="437"/>
      <c r="T113" s="437"/>
      <c r="U113" s="437"/>
      <c r="V113" s="437"/>
      <c r="W113" s="437"/>
      <c r="X113" s="437"/>
      <c r="Y113" s="437"/>
      <c r="Z113" s="437"/>
      <c r="AA113" s="437"/>
      <c r="AB113" s="437"/>
      <c r="AC113" s="437"/>
      <c r="AD113" s="437"/>
      <c r="AE113" s="437"/>
      <c r="AF113" s="437"/>
      <c r="AG113" s="437"/>
      <c r="AH113" s="437"/>
      <c r="AI113" s="437"/>
      <c r="AJ113" s="437"/>
      <c r="AK113" s="437"/>
      <c r="AL113" s="437"/>
      <c r="AM113" s="437"/>
      <c r="AN113" s="437"/>
      <c r="AO113" s="437"/>
      <c r="AP113" s="437"/>
      <c r="AQ113" s="437"/>
      <c r="AR113" s="437"/>
      <c r="AS113" s="437"/>
      <c r="AT113" s="437"/>
      <c r="AU113" s="437"/>
      <c r="AV113" s="437"/>
      <c r="AW113" s="437"/>
      <c r="AX113" s="437"/>
      <c r="AY113" s="437"/>
      <c r="AZ113" s="437"/>
      <c r="BA113" s="437"/>
      <c r="BB113" s="437"/>
      <c r="BC113" s="437"/>
      <c r="BD113" s="437"/>
      <c r="BE113" s="437"/>
      <c r="BF113" s="437"/>
      <c r="BG113" s="437"/>
      <c r="BH113" s="437"/>
      <c r="BI113" s="437"/>
      <c r="BJ113" s="437"/>
      <c r="BK113" s="437"/>
      <c r="BL113" s="437"/>
      <c r="BM113" s="437"/>
      <c r="BN113" s="437"/>
      <c r="BO113" s="437"/>
      <c r="BP113" s="437"/>
      <c r="BQ113" s="437"/>
      <c r="BR113" s="437"/>
      <c r="BS113" s="437"/>
      <c r="BT113" s="437"/>
      <c r="BU113" s="437"/>
      <c r="BV113" s="437"/>
      <c r="BW113" s="437"/>
      <c r="BX113" s="437"/>
      <c r="BY113" s="437"/>
      <c r="BZ113" s="437"/>
      <c r="CA113" s="437"/>
      <c r="CB113" s="437"/>
      <c r="CC113" s="437"/>
      <c r="CD113" s="437"/>
      <c r="CE113" s="437"/>
      <c r="CF113" s="437"/>
      <c r="CG113" s="437"/>
      <c r="CH113" s="437"/>
      <c r="CI113" s="437"/>
      <c r="CJ113" s="437"/>
      <c r="CK113" s="437"/>
      <c r="CL113" s="437"/>
      <c r="CM113" s="437"/>
      <c r="CN113" s="437"/>
      <c r="CO113" s="437"/>
      <c r="CP113" s="437"/>
      <c r="CQ113" s="437"/>
      <c r="CR113" s="437"/>
      <c r="CS113" s="437"/>
      <c r="CT113" s="437"/>
      <c r="CU113" s="437"/>
      <c r="CV113" s="437"/>
      <c r="CW113" s="437"/>
      <c r="CX113" s="437"/>
      <c r="CY113" s="437"/>
      <c r="CZ113" s="437"/>
      <c r="DA113" s="437"/>
    </row>
    <row r="114" spans="2:105" s="362" customFormat="1" x14ac:dyDescent="0.2">
      <c r="B114" s="12"/>
      <c r="C114" s="12"/>
      <c r="D114" s="13"/>
      <c r="E114" s="12"/>
      <c r="F114" s="12"/>
      <c r="G114" s="13"/>
      <c r="H114" s="12"/>
      <c r="I114" s="437"/>
      <c r="J114" s="437"/>
      <c r="K114" s="437"/>
      <c r="L114" s="437"/>
      <c r="M114" s="437"/>
      <c r="N114" s="437"/>
      <c r="O114" s="437"/>
      <c r="P114" s="437"/>
      <c r="Q114" s="437"/>
      <c r="R114" s="437"/>
      <c r="S114" s="437"/>
      <c r="T114" s="437"/>
      <c r="U114" s="437"/>
      <c r="V114" s="437"/>
      <c r="W114" s="437"/>
      <c r="X114" s="437"/>
      <c r="Y114" s="437"/>
      <c r="Z114" s="437"/>
      <c r="AA114" s="437"/>
      <c r="AB114" s="437"/>
      <c r="AC114" s="437"/>
      <c r="AD114" s="437"/>
      <c r="AE114" s="437"/>
      <c r="AF114" s="437"/>
      <c r="AG114" s="437"/>
      <c r="AH114" s="437"/>
      <c r="AI114" s="437"/>
      <c r="AJ114" s="437"/>
      <c r="AK114" s="437"/>
      <c r="AL114" s="437"/>
      <c r="AM114" s="437"/>
      <c r="AN114" s="437"/>
      <c r="AO114" s="437"/>
      <c r="AP114" s="437"/>
      <c r="AQ114" s="437"/>
      <c r="AR114" s="437"/>
      <c r="AS114" s="437"/>
      <c r="AT114" s="437"/>
      <c r="AU114" s="437"/>
      <c r="AV114" s="437"/>
      <c r="AW114" s="437"/>
      <c r="AX114" s="437"/>
      <c r="AY114" s="437"/>
      <c r="AZ114" s="437"/>
      <c r="BA114" s="437"/>
      <c r="BB114" s="437"/>
      <c r="BC114" s="437"/>
      <c r="BD114" s="437"/>
      <c r="BE114" s="437"/>
      <c r="BF114" s="437"/>
      <c r="BG114" s="437"/>
      <c r="BH114" s="437"/>
      <c r="BI114" s="437"/>
      <c r="BJ114" s="437"/>
      <c r="BK114" s="437"/>
      <c r="BL114" s="437"/>
      <c r="BM114" s="437"/>
      <c r="BN114" s="437"/>
      <c r="BO114" s="437"/>
      <c r="BP114" s="437"/>
      <c r="BQ114" s="437"/>
      <c r="BR114" s="437"/>
      <c r="BS114" s="437"/>
      <c r="BT114" s="437"/>
      <c r="BU114" s="437"/>
      <c r="BV114" s="437"/>
      <c r="BW114" s="437"/>
      <c r="BX114" s="437"/>
      <c r="BY114" s="437"/>
      <c r="BZ114" s="437"/>
      <c r="CA114" s="437"/>
      <c r="CB114" s="437"/>
      <c r="CC114" s="437"/>
      <c r="CD114" s="437"/>
      <c r="CE114" s="437"/>
      <c r="CF114" s="437"/>
      <c r="CG114" s="437"/>
      <c r="CH114" s="437"/>
      <c r="CI114" s="437"/>
      <c r="CJ114" s="437"/>
      <c r="CK114" s="437"/>
      <c r="CL114" s="437"/>
      <c r="CM114" s="437"/>
      <c r="CN114" s="437"/>
      <c r="CO114" s="437"/>
      <c r="CP114" s="437"/>
      <c r="CQ114" s="437"/>
      <c r="CR114" s="437"/>
      <c r="CS114" s="437"/>
      <c r="CT114" s="437"/>
      <c r="CU114" s="437"/>
      <c r="CV114" s="437"/>
      <c r="CW114" s="437"/>
      <c r="CX114" s="437"/>
      <c r="CY114" s="437"/>
      <c r="CZ114" s="437"/>
      <c r="DA114" s="437"/>
    </row>
    <row r="115" spans="2:105" s="362" customFormat="1" x14ac:dyDescent="0.2">
      <c r="B115" s="12"/>
      <c r="C115" s="12"/>
      <c r="D115" s="13"/>
      <c r="E115" s="12"/>
      <c r="F115" s="12"/>
      <c r="G115" s="13"/>
      <c r="H115" s="12"/>
      <c r="I115" s="437"/>
      <c r="J115" s="437"/>
      <c r="K115" s="437"/>
      <c r="L115" s="437"/>
      <c r="M115" s="437"/>
      <c r="N115" s="437"/>
      <c r="O115" s="437"/>
      <c r="P115" s="437"/>
      <c r="Q115" s="437"/>
      <c r="R115" s="437"/>
      <c r="S115" s="437"/>
      <c r="T115" s="437"/>
      <c r="U115" s="437"/>
      <c r="V115" s="437"/>
      <c r="W115" s="437"/>
      <c r="X115" s="437"/>
      <c r="Y115" s="437"/>
      <c r="Z115" s="437"/>
      <c r="AA115" s="437"/>
      <c r="AB115" s="437"/>
      <c r="AC115" s="437"/>
      <c r="AD115" s="437"/>
      <c r="AE115" s="437"/>
      <c r="AF115" s="437"/>
      <c r="AG115" s="437"/>
      <c r="AH115" s="437"/>
      <c r="AI115" s="437"/>
      <c r="AJ115" s="437"/>
      <c r="AK115" s="437"/>
      <c r="AL115" s="437"/>
      <c r="AM115" s="437"/>
      <c r="AN115" s="437"/>
      <c r="AO115" s="437"/>
      <c r="AP115" s="437"/>
      <c r="AQ115" s="437"/>
      <c r="AR115" s="437"/>
      <c r="AS115" s="437"/>
      <c r="AT115" s="437"/>
      <c r="AU115" s="437"/>
      <c r="AV115" s="437"/>
      <c r="AW115" s="437"/>
      <c r="AX115" s="437"/>
      <c r="AY115" s="437"/>
      <c r="AZ115" s="437"/>
      <c r="BA115" s="437"/>
      <c r="BB115" s="437"/>
      <c r="BC115" s="437"/>
      <c r="BD115" s="437"/>
      <c r="BE115" s="437"/>
      <c r="BF115" s="437"/>
      <c r="BG115" s="437"/>
      <c r="BH115" s="437"/>
      <c r="BI115" s="437"/>
      <c r="BJ115" s="437"/>
      <c r="BK115" s="437"/>
      <c r="BL115" s="437"/>
      <c r="BM115" s="437"/>
      <c r="BN115" s="437"/>
      <c r="BO115" s="437"/>
      <c r="BP115" s="437"/>
      <c r="BQ115" s="437"/>
      <c r="BR115" s="437"/>
      <c r="BS115" s="437"/>
      <c r="BT115" s="437"/>
      <c r="BU115" s="437"/>
      <c r="BV115" s="437"/>
      <c r="BW115" s="437"/>
      <c r="BX115" s="437"/>
      <c r="BY115" s="437"/>
      <c r="BZ115" s="437"/>
      <c r="CA115" s="437"/>
      <c r="CB115" s="437"/>
      <c r="CC115" s="437"/>
      <c r="CD115" s="437"/>
      <c r="CE115" s="437"/>
      <c r="CF115" s="437"/>
      <c r="CG115" s="437"/>
      <c r="CH115" s="437"/>
      <c r="CI115" s="437"/>
      <c r="CJ115" s="437"/>
      <c r="CK115" s="437"/>
      <c r="CL115" s="437"/>
      <c r="CM115" s="437"/>
      <c r="CN115" s="437"/>
      <c r="CO115" s="437"/>
      <c r="CP115" s="437"/>
      <c r="CQ115" s="437"/>
      <c r="CR115" s="437"/>
      <c r="CS115" s="437"/>
      <c r="CT115" s="437"/>
      <c r="CU115" s="437"/>
      <c r="CV115" s="437"/>
      <c r="CW115" s="437"/>
      <c r="CX115" s="437"/>
      <c r="CY115" s="437"/>
      <c r="CZ115" s="437"/>
      <c r="DA115" s="437"/>
    </row>
    <row r="116" spans="2:105" s="362" customFormat="1" x14ac:dyDescent="0.2">
      <c r="B116" s="12"/>
      <c r="C116" s="12"/>
      <c r="D116" s="13"/>
      <c r="E116" s="12"/>
      <c r="F116" s="12"/>
      <c r="G116" s="13"/>
      <c r="H116" s="12"/>
      <c r="I116" s="437"/>
      <c r="J116" s="437"/>
      <c r="K116" s="437"/>
      <c r="L116" s="437"/>
      <c r="M116" s="437"/>
      <c r="N116" s="437"/>
      <c r="O116" s="437"/>
      <c r="P116" s="437"/>
      <c r="Q116" s="437"/>
      <c r="R116" s="437"/>
      <c r="S116" s="437"/>
      <c r="T116" s="437"/>
      <c r="U116" s="437"/>
      <c r="V116" s="437"/>
      <c r="W116" s="437"/>
      <c r="X116" s="437"/>
      <c r="Y116" s="437"/>
      <c r="Z116" s="437"/>
      <c r="AA116" s="437"/>
      <c r="AB116" s="437"/>
      <c r="AC116" s="437"/>
      <c r="AD116" s="437"/>
      <c r="AE116" s="437"/>
      <c r="AF116" s="437"/>
      <c r="AG116" s="437"/>
      <c r="AH116" s="437"/>
      <c r="AI116" s="437"/>
      <c r="AJ116" s="437"/>
      <c r="AK116" s="437"/>
      <c r="AL116" s="437"/>
      <c r="AM116" s="437"/>
      <c r="AN116" s="437"/>
      <c r="AO116" s="437"/>
      <c r="AP116" s="437"/>
      <c r="AQ116" s="437"/>
      <c r="AR116" s="437"/>
      <c r="AS116" s="437"/>
      <c r="AT116" s="437"/>
      <c r="AU116" s="437"/>
      <c r="AV116" s="437"/>
      <c r="AW116" s="437"/>
      <c r="AX116" s="437"/>
      <c r="AY116" s="437"/>
      <c r="AZ116" s="437"/>
      <c r="BA116" s="437"/>
      <c r="BB116" s="437"/>
      <c r="BC116" s="437"/>
      <c r="BD116" s="437"/>
      <c r="BE116" s="437"/>
      <c r="BF116" s="437"/>
      <c r="BG116" s="437"/>
      <c r="BH116" s="437"/>
      <c r="BI116" s="437"/>
      <c r="BJ116" s="437"/>
      <c r="BK116" s="437"/>
      <c r="BL116" s="437"/>
      <c r="BM116" s="437"/>
      <c r="BN116" s="437"/>
      <c r="BO116" s="437"/>
      <c r="BP116" s="437"/>
      <c r="BQ116" s="437"/>
      <c r="BR116" s="437"/>
      <c r="BS116" s="437"/>
      <c r="BT116" s="437"/>
      <c r="BU116" s="437"/>
      <c r="BV116" s="437"/>
      <c r="BW116" s="437"/>
      <c r="BX116" s="437"/>
      <c r="BY116" s="437"/>
      <c r="BZ116" s="437"/>
      <c r="CA116" s="437"/>
      <c r="CB116" s="437"/>
      <c r="CC116" s="437"/>
      <c r="CD116" s="437"/>
      <c r="CE116" s="437"/>
      <c r="CF116" s="437"/>
      <c r="CG116" s="437"/>
      <c r="CH116" s="437"/>
      <c r="CI116" s="437"/>
      <c r="CJ116" s="437"/>
      <c r="CK116" s="437"/>
      <c r="CL116" s="437"/>
      <c r="CM116" s="437"/>
      <c r="CN116" s="437"/>
      <c r="CO116" s="437"/>
      <c r="CP116" s="437"/>
      <c r="CQ116" s="437"/>
      <c r="CR116" s="437"/>
      <c r="CS116" s="437"/>
      <c r="CT116" s="437"/>
      <c r="CU116" s="437"/>
      <c r="CV116" s="437"/>
      <c r="CW116" s="437"/>
      <c r="CX116" s="437"/>
      <c r="CY116" s="437"/>
      <c r="CZ116" s="437"/>
      <c r="DA116" s="437"/>
    </row>
    <row r="117" spans="2:105" s="362" customFormat="1" x14ac:dyDescent="0.2">
      <c r="B117" s="12"/>
      <c r="C117" s="12"/>
      <c r="D117" s="13"/>
      <c r="E117" s="12"/>
      <c r="F117" s="12"/>
      <c r="G117" s="13"/>
      <c r="H117" s="12"/>
      <c r="I117" s="437"/>
      <c r="J117" s="437"/>
      <c r="K117" s="437"/>
      <c r="L117" s="437"/>
      <c r="M117" s="437"/>
      <c r="N117" s="437"/>
      <c r="O117" s="437"/>
      <c r="P117" s="437"/>
      <c r="Q117" s="437"/>
      <c r="R117" s="437"/>
      <c r="S117" s="437"/>
      <c r="T117" s="437"/>
      <c r="U117" s="437"/>
      <c r="V117" s="437"/>
      <c r="W117" s="437"/>
      <c r="X117" s="437"/>
      <c r="Y117" s="437"/>
      <c r="Z117" s="437"/>
      <c r="AA117" s="437"/>
      <c r="AB117" s="437"/>
      <c r="AC117" s="437"/>
      <c r="AD117" s="437"/>
      <c r="AE117" s="437"/>
      <c r="AF117" s="437"/>
      <c r="AG117" s="437"/>
      <c r="AH117" s="437"/>
      <c r="AI117" s="437"/>
      <c r="AJ117" s="437"/>
      <c r="AK117" s="437"/>
      <c r="AL117" s="437"/>
      <c r="AM117" s="437"/>
      <c r="AN117" s="437"/>
      <c r="AO117" s="437"/>
      <c r="AP117" s="437"/>
      <c r="AQ117" s="437"/>
      <c r="AR117" s="437"/>
      <c r="AS117" s="437"/>
      <c r="AT117" s="437"/>
      <c r="AU117" s="437"/>
      <c r="AV117" s="437"/>
      <c r="AW117" s="437"/>
      <c r="AX117" s="437"/>
      <c r="AY117" s="437"/>
      <c r="AZ117" s="437"/>
      <c r="BA117" s="437"/>
      <c r="BB117" s="437"/>
      <c r="BC117" s="437"/>
      <c r="BD117" s="437"/>
      <c r="BE117" s="437"/>
      <c r="BF117" s="437"/>
      <c r="BG117" s="437"/>
      <c r="BH117" s="437"/>
      <c r="BI117" s="437"/>
      <c r="BJ117" s="437"/>
      <c r="BK117" s="437"/>
      <c r="BL117" s="437"/>
      <c r="BM117" s="437"/>
      <c r="BN117" s="437"/>
      <c r="BO117" s="437"/>
      <c r="BP117" s="437"/>
      <c r="BQ117" s="437"/>
      <c r="BR117" s="437"/>
      <c r="BS117" s="437"/>
      <c r="BT117" s="437"/>
      <c r="BU117" s="437"/>
      <c r="BV117" s="437"/>
      <c r="BW117" s="437"/>
      <c r="BX117" s="437"/>
      <c r="BY117" s="437"/>
      <c r="BZ117" s="437"/>
      <c r="CA117" s="437"/>
      <c r="CB117" s="437"/>
      <c r="CC117" s="437"/>
      <c r="CD117" s="437"/>
      <c r="CE117" s="437"/>
      <c r="CF117" s="437"/>
      <c r="CG117" s="437"/>
      <c r="CH117" s="437"/>
      <c r="CI117" s="437"/>
      <c r="CJ117" s="437"/>
      <c r="CK117" s="437"/>
      <c r="CL117" s="437"/>
      <c r="CM117" s="437"/>
      <c r="CN117" s="437"/>
      <c r="CO117" s="437"/>
      <c r="CP117" s="437"/>
      <c r="CQ117" s="437"/>
      <c r="CR117" s="437"/>
      <c r="CS117" s="437"/>
      <c r="CT117" s="437"/>
      <c r="CU117" s="437"/>
      <c r="CV117" s="437"/>
      <c r="CW117" s="437"/>
      <c r="CX117" s="437"/>
      <c r="CY117" s="437"/>
      <c r="CZ117" s="437"/>
      <c r="DA117" s="437"/>
    </row>
    <row r="118" spans="2:105" s="362" customFormat="1" x14ac:dyDescent="0.2">
      <c r="B118" s="12"/>
      <c r="C118" s="12"/>
      <c r="D118" s="13"/>
      <c r="E118" s="12"/>
      <c r="F118" s="12"/>
      <c r="G118" s="13"/>
      <c r="H118" s="12"/>
      <c r="I118" s="437"/>
      <c r="J118" s="437"/>
      <c r="K118" s="437"/>
      <c r="L118" s="437"/>
      <c r="M118" s="437"/>
      <c r="N118" s="437"/>
      <c r="O118" s="437"/>
      <c r="P118" s="437"/>
      <c r="Q118" s="437"/>
      <c r="R118" s="437"/>
      <c r="S118" s="437"/>
      <c r="T118" s="437"/>
      <c r="U118" s="437"/>
      <c r="V118" s="437"/>
      <c r="W118" s="437"/>
      <c r="X118" s="437"/>
      <c r="Y118" s="437"/>
      <c r="Z118" s="437"/>
      <c r="AA118" s="437"/>
      <c r="AB118" s="437"/>
      <c r="AC118" s="437"/>
      <c r="AD118" s="437"/>
      <c r="AE118" s="437"/>
      <c r="AF118" s="437"/>
      <c r="AG118" s="437"/>
      <c r="AH118" s="437"/>
      <c r="AI118" s="437"/>
      <c r="AJ118" s="437"/>
      <c r="AK118" s="437"/>
      <c r="AL118" s="437"/>
      <c r="AM118" s="437"/>
      <c r="AN118" s="437"/>
      <c r="AO118" s="437"/>
      <c r="AP118" s="437"/>
      <c r="AQ118" s="437"/>
      <c r="AR118" s="437"/>
      <c r="AS118" s="437"/>
      <c r="AT118" s="437"/>
      <c r="AU118" s="437"/>
      <c r="AV118" s="437"/>
      <c r="AW118" s="437"/>
      <c r="AX118" s="437"/>
      <c r="AY118" s="437"/>
      <c r="AZ118" s="437"/>
      <c r="BA118" s="437"/>
      <c r="BB118" s="437"/>
      <c r="BC118" s="437"/>
      <c r="BD118" s="437"/>
      <c r="BE118" s="437"/>
      <c r="BF118" s="437"/>
      <c r="BG118" s="437"/>
      <c r="BH118" s="437"/>
      <c r="BI118" s="437"/>
      <c r="BJ118" s="437"/>
      <c r="BK118" s="437"/>
      <c r="BL118" s="437"/>
      <c r="BM118" s="437"/>
      <c r="BN118" s="437"/>
      <c r="BO118" s="437"/>
      <c r="BP118" s="437"/>
      <c r="BQ118" s="437"/>
      <c r="BR118" s="437"/>
      <c r="BS118" s="437"/>
      <c r="BT118" s="437"/>
      <c r="BU118" s="437"/>
      <c r="BV118" s="437"/>
      <c r="BW118" s="437"/>
      <c r="BX118" s="437"/>
      <c r="BY118" s="437"/>
      <c r="BZ118" s="437"/>
      <c r="CA118" s="437"/>
      <c r="CB118" s="437"/>
      <c r="CC118" s="437"/>
      <c r="CD118" s="437"/>
      <c r="CE118" s="437"/>
      <c r="CF118" s="437"/>
      <c r="CG118" s="437"/>
      <c r="CH118" s="437"/>
      <c r="CI118" s="437"/>
      <c r="CJ118" s="437"/>
      <c r="CK118" s="437"/>
      <c r="CL118" s="437"/>
      <c r="CM118" s="437"/>
      <c r="CN118" s="437"/>
      <c r="CO118" s="437"/>
      <c r="CP118" s="437"/>
      <c r="CQ118" s="437"/>
      <c r="CR118" s="437"/>
      <c r="CS118" s="437"/>
      <c r="CT118" s="437"/>
      <c r="CU118" s="437"/>
      <c r="CV118" s="437"/>
      <c r="CW118" s="437"/>
      <c r="CX118" s="437"/>
      <c r="CY118" s="437"/>
      <c r="CZ118" s="437"/>
      <c r="DA118" s="437"/>
    </row>
    <row r="119" spans="2:105" s="362" customFormat="1" x14ac:dyDescent="0.2">
      <c r="B119" s="12"/>
      <c r="C119" s="12"/>
      <c r="D119" s="13"/>
      <c r="E119" s="12"/>
      <c r="F119" s="12"/>
      <c r="G119" s="13"/>
      <c r="H119" s="12"/>
      <c r="I119" s="437"/>
      <c r="J119" s="437"/>
      <c r="K119" s="437"/>
      <c r="L119" s="437"/>
      <c r="M119" s="437"/>
      <c r="N119" s="437"/>
      <c r="O119" s="437"/>
      <c r="P119" s="437"/>
      <c r="Q119" s="437"/>
      <c r="R119" s="437"/>
      <c r="S119" s="437"/>
      <c r="T119" s="437"/>
      <c r="U119" s="437"/>
      <c r="V119" s="437"/>
      <c r="W119" s="437"/>
      <c r="X119" s="437"/>
      <c r="Y119" s="437"/>
      <c r="Z119" s="437"/>
      <c r="AA119" s="437"/>
      <c r="AB119" s="437"/>
      <c r="AC119" s="437"/>
      <c r="AD119" s="437"/>
      <c r="AE119" s="437"/>
      <c r="AF119" s="437"/>
      <c r="AG119" s="437"/>
      <c r="AH119" s="437"/>
      <c r="AI119" s="437"/>
      <c r="AJ119" s="437"/>
      <c r="AK119" s="437"/>
      <c r="AL119" s="437"/>
      <c r="AM119" s="437"/>
      <c r="AN119" s="437"/>
      <c r="AO119" s="437"/>
      <c r="AP119" s="437"/>
      <c r="AQ119" s="437"/>
      <c r="AR119" s="437"/>
      <c r="AS119" s="437"/>
      <c r="AT119" s="437"/>
      <c r="AU119" s="437"/>
      <c r="AV119" s="437"/>
      <c r="AW119" s="437"/>
      <c r="AX119" s="437"/>
      <c r="AY119" s="437"/>
      <c r="AZ119" s="437"/>
      <c r="BA119" s="437"/>
      <c r="BB119" s="437"/>
      <c r="BC119" s="437"/>
      <c r="BD119" s="437"/>
      <c r="BE119" s="437"/>
      <c r="BF119" s="437"/>
      <c r="BG119" s="437"/>
      <c r="BH119" s="437"/>
      <c r="BI119" s="437"/>
      <c r="BJ119" s="437"/>
      <c r="BK119" s="437"/>
      <c r="BL119" s="437"/>
      <c r="BM119" s="437"/>
      <c r="BN119" s="437"/>
      <c r="BO119" s="437"/>
      <c r="BP119" s="437"/>
      <c r="BQ119" s="437"/>
      <c r="BR119" s="437"/>
      <c r="BS119" s="437"/>
      <c r="BT119" s="437"/>
      <c r="BU119" s="437"/>
      <c r="BV119" s="437"/>
      <c r="BW119" s="437"/>
      <c r="BX119" s="437"/>
      <c r="BY119" s="437"/>
      <c r="BZ119" s="437"/>
      <c r="CA119" s="437"/>
      <c r="CB119" s="437"/>
      <c r="CC119" s="437"/>
      <c r="CD119" s="437"/>
      <c r="CE119" s="437"/>
      <c r="CF119" s="437"/>
      <c r="CG119" s="437"/>
      <c r="CH119" s="437"/>
      <c r="CI119" s="437"/>
      <c r="CJ119" s="437"/>
      <c r="CK119" s="437"/>
      <c r="CL119" s="437"/>
      <c r="CM119" s="437"/>
      <c r="CN119" s="437"/>
      <c r="CO119" s="437"/>
      <c r="CP119" s="437"/>
      <c r="CQ119" s="437"/>
      <c r="CR119" s="437"/>
      <c r="CS119" s="437"/>
      <c r="CT119" s="437"/>
      <c r="CU119" s="437"/>
      <c r="CV119" s="437"/>
      <c r="CW119" s="437"/>
      <c r="CX119" s="437"/>
      <c r="CY119" s="437"/>
      <c r="CZ119" s="437"/>
      <c r="DA119" s="437"/>
    </row>
    <row r="120" spans="2:105" s="362" customFormat="1" x14ac:dyDescent="0.2">
      <c r="B120" s="12"/>
      <c r="C120" s="12"/>
      <c r="D120" s="13"/>
      <c r="E120" s="12"/>
      <c r="F120" s="12"/>
      <c r="G120" s="13"/>
      <c r="H120" s="12"/>
      <c r="I120" s="437"/>
      <c r="J120" s="437"/>
      <c r="K120" s="437"/>
      <c r="L120" s="437"/>
      <c r="M120" s="437"/>
      <c r="N120" s="437"/>
      <c r="O120" s="437"/>
      <c r="P120" s="437"/>
      <c r="Q120" s="437"/>
      <c r="R120" s="437"/>
      <c r="S120" s="437"/>
      <c r="T120" s="437"/>
      <c r="U120" s="437"/>
      <c r="V120" s="437"/>
      <c r="W120" s="437"/>
      <c r="X120" s="437"/>
      <c r="Y120" s="437"/>
      <c r="Z120" s="437"/>
      <c r="AA120" s="437"/>
      <c r="AB120" s="437"/>
      <c r="AC120" s="437"/>
      <c r="AD120" s="437"/>
      <c r="AE120" s="437"/>
      <c r="AF120" s="437"/>
      <c r="AG120" s="437"/>
      <c r="AH120" s="437"/>
      <c r="AI120" s="437"/>
      <c r="AJ120" s="437"/>
      <c r="AK120" s="437"/>
      <c r="AL120" s="437"/>
      <c r="AM120" s="437"/>
      <c r="AN120" s="437"/>
      <c r="AO120" s="437"/>
      <c r="AP120" s="437"/>
      <c r="AQ120" s="437"/>
      <c r="AR120" s="437"/>
      <c r="AS120" s="437"/>
      <c r="AT120" s="437"/>
      <c r="AU120" s="437"/>
      <c r="AV120" s="437"/>
      <c r="AW120" s="437"/>
      <c r="AX120" s="437"/>
      <c r="AY120" s="437"/>
      <c r="AZ120" s="437"/>
      <c r="BA120" s="437"/>
      <c r="BB120" s="437"/>
      <c r="BC120" s="437"/>
      <c r="BD120" s="437"/>
      <c r="BE120" s="437"/>
      <c r="BF120" s="437"/>
      <c r="BG120" s="437"/>
      <c r="BH120" s="437"/>
      <c r="BI120" s="437"/>
      <c r="BJ120" s="437"/>
      <c r="BK120" s="437"/>
      <c r="BL120" s="437"/>
      <c r="BM120" s="437"/>
      <c r="BN120" s="437"/>
      <c r="BO120" s="437"/>
      <c r="BP120" s="437"/>
      <c r="BQ120" s="437"/>
      <c r="BR120" s="437"/>
      <c r="BS120" s="437"/>
      <c r="BT120" s="437"/>
      <c r="BU120" s="437"/>
      <c r="BV120" s="437"/>
      <c r="BW120" s="437"/>
      <c r="BX120" s="437"/>
      <c r="BY120" s="437"/>
      <c r="BZ120" s="437"/>
      <c r="CA120" s="437"/>
      <c r="CB120" s="437"/>
      <c r="CC120" s="437"/>
      <c r="CD120" s="437"/>
      <c r="CE120" s="437"/>
      <c r="CF120" s="437"/>
      <c r="CG120" s="437"/>
      <c r="CH120" s="437"/>
      <c r="CI120" s="437"/>
      <c r="CJ120" s="437"/>
      <c r="CK120" s="437"/>
      <c r="CL120" s="437"/>
      <c r="CM120" s="437"/>
      <c r="CN120" s="437"/>
      <c r="CO120" s="437"/>
      <c r="CP120" s="437"/>
      <c r="CQ120" s="437"/>
      <c r="CR120" s="437"/>
      <c r="CS120" s="437"/>
      <c r="CT120" s="437"/>
      <c r="CU120" s="437"/>
      <c r="CV120" s="437"/>
      <c r="CW120" s="437"/>
      <c r="CX120" s="437"/>
      <c r="CY120" s="437"/>
      <c r="CZ120" s="437"/>
      <c r="DA120" s="437"/>
    </row>
    <row r="121" spans="2:105" s="362" customFormat="1" x14ac:dyDescent="0.2">
      <c r="B121" s="12"/>
      <c r="C121" s="12"/>
      <c r="D121" s="13"/>
      <c r="E121" s="12"/>
      <c r="F121" s="12"/>
      <c r="G121" s="13"/>
      <c r="H121" s="12"/>
      <c r="I121" s="437"/>
      <c r="J121" s="437"/>
      <c r="K121" s="437"/>
      <c r="L121" s="437"/>
      <c r="M121" s="437"/>
      <c r="N121" s="437"/>
      <c r="O121" s="437"/>
      <c r="P121" s="437"/>
      <c r="Q121" s="437"/>
      <c r="R121" s="437"/>
      <c r="S121" s="437"/>
      <c r="T121" s="437"/>
      <c r="U121" s="437"/>
      <c r="V121" s="437"/>
      <c r="W121" s="437"/>
      <c r="X121" s="437"/>
      <c r="Y121" s="437"/>
      <c r="Z121" s="437"/>
      <c r="AA121" s="437"/>
      <c r="AB121" s="437"/>
      <c r="AC121" s="437"/>
      <c r="AD121" s="437"/>
      <c r="AE121" s="437"/>
      <c r="AF121" s="437"/>
      <c r="AG121" s="437"/>
      <c r="AH121" s="437"/>
      <c r="AI121" s="437"/>
      <c r="AJ121" s="437"/>
      <c r="AK121" s="437"/>
      <c r="AL121" s="437"/>
      <c r="AM121" s="437"/>
      <c r="AN121" s="437"/>
      <c r="AO121" s="437"/>
      <c r="AP121" s="437"/>
      <c r="AQ121" s="437"/>
      <c r="AR121" s="437"/>
      <c r="AS121" s="437"/>
      <c r="AT121" s="437"/>
      <c r="AU121" s="437"/>
      <c r="AV121" s="437"/>
      <c r="AW121" s="437"/>
      <c r="AX121" s="437"/>
      <c r="AY121" s="437"/>
      <c r="AZ121" s="437"/>
      <c r="BA121" s="437"/>
      <c r="BB121" s="437"/>
      <c r="BC121" s="437"/>
      <c r="BD121" s="437"/>
      <c r="BE121" s="437"/>
      <c r="BF121" s="437"/>
      <c r="BG121" s="437"/>
      <c r="BH121" s="437"/>
      <c r="BI121" s="437"/>
      <c r="BJ121" s="437"/>
      <c r="BK121" s="437"/>
      <c r="BL121" s="437"/>
      <c r="BM121" s="437"/>
      <c r="BN121" s="437"/>
      <c r="BO121" s="437"/>
      <c r="BP121" s="437"/>
      <c r="BQ121" s="437"/>
      <c r="BR121" s="437"/>
      <c r="BS121" s="437"/>
      <c r="BT121" s="437"/>
      <c r="BU121" s="437"/>
      <c r="BV121" s="437"/>
      <c r="BW121" s="437"/>
      <c r="BX121" s="437"/>
      <c r="BY121" s="437"/>
      <c r="BZ121" s="437"/>
      <c r="CA121" s="437"/>
      <c r="CB121" s="437"/>
      <c r="CC121" s="437"/>
      <c r="CD121" s="437"/>
      <c r="CE121" s="437"/>
      <c r="CF121" s="437"/>
      <c r="CG121" s="437"/>
      <c r="CH121" s="437"/>
      <c r="CI121" s="437"/>
      <c r="CJ121" s="437"/>
      <c r="CK121" s="437"/>
      <c r="CL121" s="437"/>
      <c r="CM121" s="437"/>
      <c r="CN121" s="437"/>
      <c r="CO121" s="437"/>
      <c r="CP121" s="437"/>
      <c r="CQ121" s="437"/>
      <c r="CR121" s="437"/>
      <c r="CS121" s="437"/>
      <c r="CT121" s="437"/>
      <c r="CU121" s="437"/>
      <c r="CV121" s="437"/>
      <c r="CW121" s="437"/>
      <c r="CX121" s="437"/>
      <c r="CY121" s="437"/>
      <c r="CZ121" s="437"/>
      <c r="DA121" s="437"/>
    </row>
    <row r="122" spans="2:105" s="362" customFormat="1" x14ac:dyDescent="0.2">
      <c r="B122" s="12"/>
      <c r="C122" s="12"/>
      <c r="D122" s="13"/>
      <c r="E122" s="12"/>
      <c r="F122" s="12"/>
      <c r="G122" s="13"/>
      <c r="H122" s="12"/>
      <c r="I122" s="437"/>
      <c r="J122" s="437"/>
      <c r="K122" s="437"/>
      <c r="L122" s="437"/>
      <c r="M122" s="437"/>
      <c r="N122" s="437"/>
      <c r="O122" s="437"/>
      <c r="P122" s="437"/>
      <c r="Q122" s="437"/>
      <c r="R122" s="437"/>
      <c r="S122" s="437"/>
      <c r="T122" s="437"/>
      <c r="U122" s="437"/>
      <c r="V122" s="437"/>
      <c r="W122" s="437"/>
      <c r="X122" s="437"/>
      <c r="Y122" s="437"/>
      <c r="Z122" s="437"/>
      <c r="AA122" s="437"/>
      <c r="AB122" s="437"/>
      <c r="AC122" s="437"/>
      <c r="AD122" s="437"/>
      <c r="AE122" s="437"/>
      <c r="AF122" s="437"/>
      <c r="AG122" s="437"/>
      <c r="AH122" s="437"/>
      <c r="AI122" s="437"/>
      <c r="AJ122" s="437"/>
      <c r="AK122" s="437"/>
      <c r="AL122" s="437"/>
      <c r="AM122" s="437"/>
      <c r="AN122" s="437"/>
      <c r="AO122" s="437"/>
      <c r="AP122" s="437"/>
      <c r="AQ122" s="437"/>
      <c r="AR122" s="437"/>
      <c r="AS122" s="437"/>
      <c r="AT122" s="437"/>
      <c r="AU122" s="437"/>
      <c r="AV122" s="437"/>
      <c r="AW122" s="437"/>
      <c r="AX122" s="437"/>
      <c r="AY122" s="437"/>
      <c r="AZ122" s="437"/>
      <c r="BA122" s="437"/>
      <c r="BB122" s="437"/>
      <c r="BC122" s="437"/>
      <c r="BD122" s="437"/>
      <c r="BE122" s="437"/>
      <c r="BF122" s="437"/>
      <c r="BG122" s="437"/>
      <c r="BH122" s="437"/>
      <c r="BI122" s="437"/>
      <c r="BJ122" s="437"/>
      <c r="BK122" s="437"/>
      <c r="BL122" s="437"/>
      <c r="BM122" s="437"/>
      <c r="BN122" s="437"/>
      <c r="BO122" s="437"/>
      <c r="BP122" s="437"/>
      <c r="BQ122" s="437"/>
      <c r="BR122" s="437"/>
      <c r="BS122" s="437"/>
      <c r="BT122" s="437"/>
      <c r="BU122" s="437"/>
      <c r="BV122" s="437"/>
      <c r="BW122" s="437"/>
      <c r="BX122" s="437"/>
      <c r="BY122" s="437"/>
      <c r="BZ122" s="437"/>
      <c r="CA122" s="437"/>
      <c r="CB122" s="437"/>
      <c r="CC122" s="437"/>
      <c r="CD122" s="437"/>
      <c r="CE122" s="437"/>
      <c r="CF122" s="437"/>
      <c r="CG122" s="437"/>
      <c r="CH122" s="437"/>
      <c r="CI122" s="437"/>
      <c r="CJ122" s="437"/>
      <c r="CK122" s="437"/>
      <c r="CL122" s="437"/>
      <c r="CM122" s="437"/>
      <c r="CN122" s="437"/>
      <c r="CO122" s="437"/>
      <c r="CP122" s="437"/>
      <c r="CQ122" s="437"/>
      <c r="CR122" s="437"/>
      <c r="CS122" s="437"/>
      <c r="CT122" s="437"/>
      <c r="CU122" s="437"/>
      <c r="CV122" s="437"/>
      <c r="CW122" s="437"/>
      <c r="CX122" s="437"/>
      <c r="CY122" s="437"/>
      <c r="CZ122" s="437"/>
      <c r="DA122" s="437"/>
    </row>
    <row r="123" spans="2:105" s="362" customFormat="1" x14ac:dyDescent="0.2">
      <c r="B123" s="12"/>
      <c r="C123" s="12"/>
      <c r="D123" s="13"/>
      <c r="E123" s="12"/>
      <c r="F123" s="12"/>
      <c r="G123" s="13"/>
      <c r="H123" s="12"/>
      <c r="I123" s="437"/>
      <c r="J123" s="437"/>
      <c r="K123" s="437"/>
      <c r="L123" s="437"/>
      <c r="M123" s="437"/>
      <c r="N123" s="437"/>
      <c r="O123" s="437"/>
      <c r="P123" s="437"/>
      <c r="Q123" s="437"/>
      <c r="R123" s="437"/>
      <c r="S123" s="437"/>
      <c r="T123" s="437"/>
      <c r="U123" s="437"/>
      <c r="V123" s="437"/>
      <c r="W123" s="437"/>
      <c r="X123" s="437"/>
      <c r="Y123" s="437"/>
      <c r="Z123" s="437"/>
      <c r="AA123" s="437"/>
      <c r="AB123" s="437"/>
      <c r="AC123" s="437"/>
      <c r="AD123" s="437"/>
      <c r="AE123" s="437"/>
      <c r="AF123" s="437"/>
      <c r="AG123" s="437"/>
      <c r="AH123" s="437"/>
      <c r="AI123" s="437"/>
      <c r="AJ123" s="437"/>
      <c r="AK123" s="437"/>
      <c r="AL123" s="437"/>
      <c r="AM123" s="437"/>
      <c r="AN123" s="437"/>
      <c r="AO123" s="437"/>
      <c r="AP123" s="437"/>
      <c r="AQ123" s="437"/>
      <c r="AR123" s="437"/>
      <c r="AS123" s="437"/>
      <c r="AT123" s="437"/>
      <c r="AU123" s="437"/>
      <c r="AV123" s="437"/>
      <c r="AW123" s="437"/>
      <c r="AX123" s="437"/>
      <c r="AY123" s="437"/>
      <c r="AZ123" s="437"/>
      <c r="BA123" s="437"/>
      <c r="BB123" s="437"/>
      <c r="BC123" s="437"/>
      <c r="BD123" s="437"/>
      <c r="BE123" s="437"/>
      <c r="BF123" s="437"/>
      <c r="BG123" s="437"/>
      <c r="BH123" s="437"/>
      <c r="BI123" s="437"/>
      <c r="BJ123" s="437"/>
      <c r="BK123" s="437"/>
      <c r="BL123" s="437"/>
      <c r="BM123" s="437"/>
      <c r="BN123" s="437"/>
      <c r="BO123" s="437"/>
      <c r="BP123" s="437"/>
      <c r="BQ123" s="437"/>
      <c r="BR123" s="437"/>
      <c r="BS123" s="437"/>
      <c r="BT123" s="437"/>
      <c r="BU123" s="437"/>
      <c r="BV123" s="437"/>
      <c r="BW123" s="437"/>
      <c r="BX123" s="437"/>
      <c r="BY123" s="437"/>
      <c r="BZ123" s="437"/>
      <c r="CA123" s="437"/>
      <c r="CB123" s="437"/>
      <c r="CC123" s="437"/>
      <c r="CD123" s="437"/>
      <c r="CE123" s="437"/>
      <c r="CF123" s="437"/>
      <c r="CG123" s="437"/>
      <c r="CH123" s="437"/>
      <c r="CI123" s="437"/>
      <c r="CJ123" s="437"/>
      <c r="CK123" s="437"/>
      <c r="CL123" s="437"/>
      <c r="CM123" s="437"/>
      <c r="CN123" s="437"/>
      <c r="CO123" s="437"/>
      <c r="CP123" s="437"/>
      <c r="CQ123" s="437"/>
      <c r="CR123" s="437"/>
      <c r="CS123" s="437"/>
      <c r="CT123" s="437"/>
      <c r="CU123" s="437"/>
      <c r="CV123" s="437"/>
      <c r="CW123" s="437"/>
      <c r="CX123" s="437"/>
      <c r="CY123" s="437"/>
      <c r="CZ123" s="437"/>
      <c r="DA123" s="437"/>
    </row>
    <row r="124" spans="2:105" s="362" customFormat="1" x14ac:dyDescent="0.2">
      <c r="B124" s="12"/>
      <c r="C124" s="12"/>
      <c r="D124" s="13"/>
      <c r="E124" s="12"/>
      <c r="F124" s="12"/>
      <c r="G124" s="13"/>
      <c r="H124" s="12"/>
      <c r="I124" s="437"/>
      <c r="J124" s="437"/>
      <c r="K124" s="437"/>
      <c r="L124" s="437"/>
      <c r="M124" s="437"/>
      <c r="N124" s="437"/>
      <c r="O124" s="437"/>
      <c r="P124" s="437"/>
      <c r="Q124" s="437"/>
      <c r="R124" s="437"/>
      <c r="S124" s="437"/>
      <c r="T124" s="437"/>
      <c r="U124" s="437"/>
      <c r="V124" s="437"/>
      <c r="W124" s="437"/>
      <c r="X124" s="437"/>
      <c r="Y124" s="437"/>
      <c r="Z124" s="437"/>
      <c r="AA124" s="437"/>
      <c r="AB124" s="437"/>
      <c r="AC124" s="437"/>
      <c r="AD124" s="437"/>
      <c r="AE124" s="437"/>
      <c r="AF124" s="437"/>
      <c r="AG124" s="437"/>
      <c r="AH124" s="437"/>
      <c r="AI124" s="437"/>
      <c r="AJ124" s="437"/>
      <c r="AK124" s="437"/>
      <c r="AL124" s="437"/>
      <c r="AM124" s="437"/>
      <c r="AN124" s="437"/>
      <c r="AO124" s="437"/>
      <c r="AP124" s="437"/>
      <c r="AQ124" s="437"/>
      <c r="AR124" s="437"/>
      <c r="AS124" s="437"/>
      <c r="AT124" s="437"/>
      <c r="AU124" s="437"/>
      <c r="AV124" s="437"/>
      <c r="AW124" s="437"/>
      <c r="AX124" s="437"/>
      <c r="AY124" s="437"/>
      <c r="AZ124" s="437"/>
      <c r="BA124" s="437"/>
      <c r="BB124" s="437"/>
      <c r="BC124" s="437"/>
      <c r="BD124" s="437"/>
      <c r="BE124" s="437"/>
      <c r="BF124" s="437"/>
      <c r="BG124" s="437"/>
      <c r="BH124" s="437"/>
      <c r="BI124" s="437"/>
      <c r="BJ124" s="437"/>
      <c r="BK124" s="437"/>
      <c r="BL124" s="437"/>
      <c r="BM124" s="437"/>
      <c r="BN124" s="437"/>
      <c r="BO124" s="437"/>
      <c r="BP124" s="437"/>
      <c r="BQ124" s="437"/>
      <c r="BR124" s="437"/>
      <c r="BS124" s="437"/>
      <c r="BT124" s="437"/>
      <c r="BU124" s="437"/>
      <c r="BV124" s="437"/>
      <c r="BW124" s="437"/>
      <c r="BX124" s="437"/>
      <c r="BY124" s="437"/>
      <c r="BZ124" s="437"/>
      <c r="CA124" s="437"/>
      <c r="CB124" s="437"/>
      <c r="CC124" s="437"/>
      <c r="CD124" s="437"/>
      <c r="CE124" s="437"/>
      <c r="CF124" s="437"/>
      <c r="CG124" s="437"/>
      <c r="CH124" s="437"/>
      <c r="CI124" s="437"/>
      <c r="CJ124" s="437"/>
      <c r="CK124" s="437"/>
      <c r="CL124" s="437"/>
      <c r="CM124" s="437"/>
      <c r="CN124" s="437"/>
      <c r="CO124" s="437"/>
      <c r="CP124" s="437"/>
      <c r="CQ124" s="437"/>
      <c r="CR124" s="437"/>
      <c r="CS124" s="437"/>
      <c r="CT124" s="437"/>
      <c r="CU124" s="437"/>
      <c r="CV124" s="437"/>
      <c r="CW124" s="437"/>
      <c r="CX124" s="437"/>
      <c r="CY124" s="437"/>
      <c r="CZ124" s="437"/>
      <c r="DA124" s="437"/>
    </row>
    <row r="125" spans="2:105" s="362" customFormat="1" x14ac:dyDescent="0.2">
      <c r="B125" s="12"/>
      <c r="C125" s="12"/>
      <c r="D125" s="13"/>
      <c r="E125" s="12"/>
      <c r="F125" s="12"/>
      <c r="G125" s="13"/>
      <c r="H125" s="12"/>
      <c r="I125" s="437"/>
      <c r="J125" s="437"/>
      <c r="K125" s="437"/>
      <c r="L125" s="437"/>
      <c r="M125" s="437"/>
      <c r="N125" s="437"/>
      <c r="O125" s="437"/>
      <c r="P125" s="437"/>
      <c r="Q125" s="437"/>
      <c r="R125" s="437"/>
      <c r="S125" s="437"/>
      <c r="T125" s="437"/>
      <c r="U125" s="437"/>
      <c r="V125" s="437"/>
      <c r="W125" s="437"/>
      <c r="X125" s="437"/>
      <c r="Y125" s="437"/>
      <c r="Z125" s="437"/>
      <c r="AA125" s="437"/>
      <c r="AB125" s="437"/>
      <c r="AC125" s="437"/>
      <c r="AD125" s="437"/>
      <c r="AE125" s="437"/>
      <c r="AF125" s="437"/>
      <c r="AG125" s="437"/>
      <c r="AH125" s="437"/>
      <c r="AI125" s="437"/>
      <c r="AJ125" s="437"/>
      <c r="AK125" s="437"/>
      <c r="AL125" s="437"/>
      <c r="AM125" s="437"/>
      <c r="AN125" s="437"/>
      <c r="AO125" s="437"/>
      <c r="AP125" s="437"/>
      <c r="AQ125" s="437"/>
      <c r="AR125" s="437"/>
      <c r="AS125" s="437"/>
      <c r="AT125" s="437"/>
      <c r="AU125" s="437"/>
      <c r="AV125" s="437"/>
      <c r="AW125" s="437"/>
      <c r="AX125" s="437"/>
      <c r="AY125" s="437"/>
      <c r="AZ125" s="437"/>
      <c r="BA125" s="437"/>
      <c r="BB125" s="437"/>
      <c r="BC125" s="437"/>
      <c r="BD125" s="437"/>
      <c r="BE125" s="437"/>
      <c r="BF125" s="437"/>
      <c r="BG125" s="437"/>
      <c r="BH125" s="437"/>
      <c r="BI125" s="437"/>
      <c r="BJ125" s="437"/>
      <c r="BK125" s="437"/>
      <c r="BL125" s="437"/>
      <c r="BM125" s="437"/>
      <c r="BN125" s="437"/>
      <c r="BO125" s="437"/>
      <c r="BP125" s="437"/>
      <c r="BQ125" s="437"/>
      <c r="BR125" s="437"/>
      <c r="BS125" s="437"/>
      <c r="BT125" s="437"/>
      <c r="BU125" s="437"/>
      <c r="BV125" s="437"/>
      <c r="BW125" s="437"/>
      <c r="BX125" s="437"/>
      <c r="BY125" s="437"/>
      <c r="BZ125" s="437"/>
      <c r="CA125" s="437"/>
      <c r="CB125" s="437"/>
      <c r="CC125" s="437"/>
      <c r="CD125" s="437"/>
      <c r="CE125" s="437"/>
      <c r="CF125" s="437"/>
      <c r="CG125" s="437"/>
      <c r="CH125" s="437"/>
      <c r="CI125" s="437"/>
      <c r="CJ125" s="437"/>
      <c r="CK125" s="437"/>
      <c r="CL125" s="437"/>
      <c r="CM125" s="437"/>
      <c r="CN125" s="437"/>
      <c r="CO125" s="437"/>
      <c r="CP125" s="437"/>
      <c r="CQ125" s="437"/>
      <c r="CR125" s="437"/>
      <c r="CS125" s="437"/>
      <c r="CT125" s="437"/>
      <c r="CU125" s="437"/>
      <c r="CV125" s="437"/>
      <c r="CW125" s="437"/>
      <c r="CX125" s="437"/>
      <c r="CY125" s="437"/>
      <c r="CZ125" s="437"/>
      <c r="DA125" s="437"/>
    </row>
    <row r="126" spans="2:105" s="362" customFormat="1" x14ac:dyDescent="0.2">
      <c r="B126" s="12"/>
      <c r="C126" s="12"/>
      <c r="D126" s="13"/>
      <c r="E126" s="12"/>
      <c r="F126" s="12"/>
      <c r="G126" s="13"/>
      <c r="H126" s="12"/>
      <c r="I126" s="437"/>
      <c r="J126" s="437"/>
      <c r="K126" s="437"/>
      <c r="L126" s="437"/>
      <c r="M126" s="437"/>
      <c r="N126" s="437"/>
      <c r="O126" s="437"/>
      <c r="P126" s="437"/>
      <c r="Q126" s="437"/>
      <c r="R126" s="437"/>
      <c r="S126" s="437"/>
      <c r="T126" s="437"/>
      <c r="U126" s="437"/>
      <c r="V126" s="437"/>
      <c r="W126" s="437"/>
      <c r="X126" s="437"/>
      <c r="Y126" s="437"/>
      <c r="Z126" s="437"/>
      <c r="AA126" s="437"/>
      <c r="AB126" s="437"/>
      <c r="AC126" s="437"/>
      <c r="AD126" s="437"/>
      <c r="AE126" s="437"/>
      <c r="AF126" s="437"/>
      <c r="AG126" s="437"/>
      <c r="AH126" s="437"/>
      <c r="AI126" s="437"/>
      <c r="AJ126" s="437"/>
      <c r="AK126" s="437"/>
      <c r="AL126" s="437"/>
      <c r="AM126" s="437"/>
      <c r="AN126" s="437"/>
      <c r="AO126" s="437"/>
      <c r="AP126" s="437"/>
      <c r="AQ126" s="437"/>
      <c r="AR126" s="437"/>
      <c r="AS126" s="437"/>
      <c r="AT126" s="437"/>
      <c r="AU126" s="437"/>
      <c r="AV126" s="437"/>
      <c r="AW126" s="437"/>
      <c r="AX126" s="437"/>
      <c r="AY126" s="437"/>
      <c r="AZ126" s="437"/>
      <c r="BA126" s="437"/>
      <c r="BB126" s="437"/>
      <c r="BC126" s="437"/>
      <c r="BD126" s="437"/>
      <c r="BE126" s="437"/>
      <c r="BF126" s="437"/>
      <c r="BG126" s="437"/>
      <c r="BH126" s="437"/>
      <c r="BI126" s="437"/>
      <c r="BJ126" s="437"/>
      <c r="BK126" s="437"/>
      <c r="BL126" s="437"/>
      <c r="BM126" s="437"/>
      <c r="BN126" s="437"/>
      <c r="BO126" s="437"/>
      <c r="BP126" s="437"/>
      <c r="BQ126" s="437"/>
      <c r="BR126" s="437"/>
      <c r="BS126" s="437"/>
      <c r="BT126" s="437"/>
      <c r="BU126" s="437"/>
      <c r="BV126" s="437"/>
      <c r="BW126" s="437"/>
      <c r="BX126" s="437"/>
      <c r="BY126" s="437"/>
      <c r="BZ126" s="437"/>
      <c r="CA126" s="437"/>
      <c r="CB126" s="437"/>
      <c r="CC126" s="437"/>
      <c r="CD126" s="437"/>
      <c r="CE126" s="437"/>
      <c r="CF126" s="437"/>
      <c r="CG126" s="437"/>
      <c r="CH126" s="437"/>
      <c r="CI126" s="437"/>
      <c r="CJ126" s="437"/>
      <c r="CK126" s="437"/>
      <c r="CL126" s="437"/>
      <c r="CM126" s="437"/>
      <c r="CN126" s="437"/>
      <c r="CO126" s="437"/>
      <c r="CP126" s="437"/>
      <c r="CQ126" s="437"/>
      <c r="CR126" s="437"/>
      <c r="CS126" s="437"/>
      <c r="CT126" s="437"/>
      <c r="CU126" s="437"/>
      <c r="CV126" s="437"/>
      <c r="CW126" s="437"/>
      <c r="CX126" s="437"/>
      <c r="CY126" s="437"/>
      <c r="CZ126" s="437"/>
      <c r="DA126" s="437"/>
    </row>
    <row r="127" spans="2:105" s="362" customFormat="1" x14ac:dyDescent="0.2">
      <c r="B127" s="12"/>
      <c r="C127" s="12"/>
      <c r="D127" s="13"/>
      <c r="E127" s="12"/>
      <c r="F127" s="12"/>
      <c r="G127" s="13"/>
      <c r="H127" s="12"/>
      <c r="I127" s="437"/>
      <c r="J127" s="437"/>
      <c r="K127" s="437"/>
      <c r="L127" s="437"/>
      <c r="M127" s="437"/>
      <c r="N127" s="437"/>
      <c r="O127" s="437"/>
      <c r="P127" s="437"/>
      <c r="Q127" s="437"/>
      <c r="R127" s="437"/>
      <c r="S127" s="437"/>
      <c r="T127" s="437"/>
      <c r="U127" s="437"/>
      <c r="V127" s="437"/>
      <c r="W127" s="437"/>
      <c r="X127" s="437"/>
      <c r="Y127" s="437"/>
      <c r="Z127" s="437"/>
      <c r="AA127" s="437"/>
      <c r="AB127" s="437"/>
      <c r="AC127" s="437"/>
      <c r="AD127" s="437"/>
      <c r="AE127" s="437"/>
      <c r="AF127" s="437"/>
      <c r="AG127" s="437"/>
      <c r="AH127" s="437"/>
      <c r="AI127" s="437"/>
      <c r="AJ127" s="437"/>
      <c r="AK127" s="437"/>
      <c r="AL127" s="437"/>
      <c r="AM127" s="437"/>
      <c r="AN127" s="437"/>
      <c r="AO127" s="437"/>
      <c r="AP127" s="437"/>
      <c r="AQ127" s="437"/>
      <c r="AR127" s="437"/>
      <c r="AS127" s="437"/>
      <c r="AT127" s="437"/>
      <c r="AU127" s="437"/>
      <c r="AV127" s="437"/>
      <c r="AW127" s="437"/>
      <c r="AX127" s="437"/>
      <c r="AY127" s="437"/>
      <c r="AZ127" s="437"/>
      <c r="BA127" s="437"/>
      <c r="BB127" s="437"/>
      <c r="BC127" s="437"/>
      <c r="BD127" s="437"/>
      <c r="BE127" s="437"/>
      <c r="BF127" s="437"/>
      <c r="BG127" s="437"/>
      <c r="BH127" s="437"/>
      <c r="BI127" s="437"/>
      <c r="BJ127" s="437"/>
      <c r="BK127" s="437"/>
      <c r="BL127" s="437"/>
      <c r="BM127" s="437"/>
      <c r="BN127" s="437"/>
      <c r="BO127" s="437"/>
      <c r="BP127" s="437"/>
      <c r="BQ127" s="437"/>
      <c r="BR127" s="437"/>
      <c r="BS127" s="437"/>
      <c r="BT127" s="437"/>
      <c r="BU127" s="437"/>
      <c r="BV127" s="437"/>
      <c r="BW127" s="437"/>
      <c r="BX127" s="437"/>
      <c r="BY127" s="437"/>
      <c r="BZ127" s="437"/>
      <c r="CA127" s="437"/>
      <c r="CB127" s="437"/>
      <c r="CC127" s="437"/>
      <c r="CD127" s="437"/>
      <c r="CE127" s="437"/>
      <c r="CF127" s="437"/>
      <c r="CG127" s="437"/>
      <c r="CH127" s="437"/>
      <c r="CI127" s="437"/>
      <c r="CJ127" s="437"/>
      <c r="CK127" s="437"/>
      <c r="CL127" s="437"/>
      <c r="CM127" s="437"/>
      <c r="CN127" s="437"/>
      <c r="CO127" s="437"/>
      <c r="CP127" s="437"/>
      <c r="CQ127" s="437"/>
      <c r="CR127" s="437"/>
      <c r="CS127" s="437"/>
      <c r="CT127" s="437"/>
      <c r="CU127" s="437"/>
      <c r="CV127" s="437"/>
      <c r="CW127" s="437"/>
      <c r="CX127" s="437"/>
      <c r="CY127" s="437"/>
      <c r="CZ127" s="437"/>
      <c r="DA127" s="437"/>
    </row>
    <row r="128" spans="2:105" s="362" customFormat="1" x14ac:dyDescent="0.2">
      <c r="B128" s="12"/>
      <c r="C128" s="12"/>
      <c r="D128" s="13"/>
      <c r="E128" s="12"/>
      <c r="F128" s="12"/>
      <c r="G128" s="13"/>
      <c r="H128" s="12"/>
      <c r="I128" s="437"/>
      <c r="J128" s="437"/>
      <c r="K128" s="437"/>
      <c r="L128" s="437"/>
      <c r="M128" s="437"/>
      <c r="N128" s="437"/>
      <c r="O128" s="437"/>
      <c r="P128" s="437"/>
      <c r="Q128" s="437"/>
      <c r="R128" s="437"/>
      <c r="S128" s="437"/>
      <c r="T128" s="437"/>
      <c r="U128" s="437"/>
      <c r="V128" s="437"/>
      <c r="W128" s="437"/>
      <c r="X128" s="437"/>
      <c r="Y128" s="437"/>
      <c r="Z128" s="437"/>
      <c r="AA128" s="437"/>
      <c r="AB128" s="437"/>
      <c r="AC128" s="437"/>
      <c r="AD128" s="437"/>
      <c r="AE128" s="437"/>
      <c r="AF128" s="437"/>
      <c r="AG128" s="437"/>
      <c r="AH128" s="437"/>
      <c r="AI128" s="437"/>
      <c r="AJ128" s="437"/>
      <c r="AK128" s="437"/>
      <c r="AL128" s="437"/>
      <c r="AM128" s="437"/>
      <c r="AN128" s="437"/>
      <c r="AO128" s="437"/>
      <c r="AP128" s="437"/>
      <c r="AQ128" s="437"/>
      <c r="AR128" s="437"/>
      <c r="AS128" s="437"/>
      <c r="AT128" s="437"/>
      <c r="AU128" s="437"/>
      <c r="AV128" s="437"/>
      <c r="AW128" s="437"/>
      <c r="AX128" s="437"/>
      <c r="AY128" s="437"/>
      <c r="AZ128" s="437"/>
      <c r="BA128" s="437"/>
      <c r="BB128" s="437"/>
      <c r="BC128" s="437"/>
      <c r="BD128" s="437"/>
      <c r="BE128" s="437"/>
      <c r="BF128" s="437"/>
      <c r="BG128" s="437"/>
      <c r="BH128" s="437"/>
      <c r="BI128" s="437"/>
      <c r="BJ128" s="437"/>
      <c r="BK128" s="437"/>
      <c r="BL128" s="437"/>
      <c r="BM128" s="437"/>
      <c r="BN128" s="437"/>
      <c r="BO128" s="437"/>
      <c r="BP128" s="437"/>
      <c r="BQ128" s="437"/>
      <c r="BR128" s="437"/>
      <c r="BS128" s="437"/>
      <c r="BT128" s="437"/>
      <c r="BU128" s="437"/>
      <c r="BV128" s="437"/>
      <c r="BW128" s="437"/>
      <c r="BX128" s="437"/>
      <c r="BY128" s="437"/>
      <c r="BZ128" s="437"/>
      <c r="CA128" s="437"/>
      <c r="CB128" s="437"/>
      <c r="CC128" s="437"/>
      <c r="CD128" s="437"/>
      <c r="CE128" s="437"/>
      <c r="CF128" s="437"/>
      <c r="CG128" s="437"/>
      <c r="CH128" s="437"/>
      <c r="CI128" s="437"/>
      <c r="CJ128" s="437"/>
      <c r="CK128" s="437"/>
      <c r="CL128" s="437"/>
      <c r="CM128" s="437"/>
      <c r="CN128" s="437"/>
      <c r="CO128" s="437"/>
      <c r="CP128" s="437"/>
      <c r="CQ128" s="437"/>
      <c r="CR128" s="437"/>
      <c r="CS128" s="437"/>
      <c r="CT128" s="437"/>
      <c r="CU128" s="437"/>
      <c r="CV128" s="437"/>
      <c r="CW128" s="437"/>
      <c r="CX128" s="437"/>
      <c r="CY128" s="437"/>
      <c r="CZ128" s="437"/>
      <c r="DA128" s="437"/>
    </row>
    <row r="129" spans="2:105" s="362" customFormat="1" x14ac:dyDescent="0.2">
      <c r="B129" s="12"/>
      <c r="C129" s="12"/>
      <c r="D129" s="13"/>
      <c r="E129" s="12"/>
      <c r="F129" s="12"/>
      <c r="G129" s="13"/>
      <c r="H129" s="12"/>
      <c r="I129" s="437"/>
      <c r="J129" s="437"/>
      <c r="K129" s="437"/>
      <c r="L129" s="437"/>
      <c r="M129" s="437"/>
      <c r="N129" s="437"/>
      <c r="O129" s="437"/>
      <c r="P129" s="437"/>
      <c r="Q129" s="437"/>
      <c r="R129" s="437"/>
      <c r="S129" s="437"/>
      <c r="T129" s="437"/>
      <c r="U129" s="437"/>
      <c r="V129" s="437"/>
      <c r="W129" s="437"/>
      <c r="X129" s="437"/>
      <c r="Y129" s="437"/>
      <c r="Z129" s="437"/>
      <c r="AA129" s="437"/>
      <c r="AB129" s="437"/>
      <c r="AC129" s="437"/>
      <c r="AD129" s="437"/>
      <c r="AE129" s="437"/>
      <c r="AF129" s="437"/>
      <c r="AG129" s="437"/>
      <c r="AH129" s="437"/>
      <c r="AI129" s="437"/>
      <c r="AJ129" s="437"/>
      <c r="AK129" s="437"/>
      <c r="AL129" s="437"/>
      <c r="AM129" s="437"/>
      <c r="AN129" s="437"/>
      <c r="AO129" s="437"/>
      <c r="AP129" s="437"/>
      <c r="AQ129" s="437"/>
      <c r="AR129" s="437"/>
      <c r="AS129" s="437"/>
      <c r="AT129" s="437"/>
      <c r="AU129" s="437"/>
      <c r="AV129" s="437"/>
      <c r="AW129" s="437"/>
      <c r="AX129" s="437"/>
      <c r="AY129" s="437"/>
      <c r="AZ129" s="437"/>
      <c r="BA129" s="437"/>
      <c r="BB129" s="437"/>
      <c r="BC129" s="437"/>
      <c r="BD129" s="437"/>
      <c r="BE129" s="437"/>
      <c r="BF129" s="437"/>
      <c r="BG129" s="437"/>
      <c r="BH129" s="437"/>
      <c r="BI129" s="437"/>
      <c r="BJ129" s="437"/>
      <c r="BK129" s="437"/>
      <c r="BL129" s="437"/>
      <c r="BM129" s="437"/>
      <c r="BN129" s="437"/>
      <c r="BO129" s="437"/>
      <c r="BP129" s="437"/>
      <c r="BQ129" s="437"/>
      <c r="BR129" s="437"/>
      <c r="BS129" s="437"/>
      <c r="BT129" s="437"/>
      <c r="BU129" s="437"/>
      <c r="BV129" s="437"/>
      <c r="BW129" s="437"/>
      <c r="BX129" s="437"/>
      <c r="BY129" s="437"/>
      <c r="BZ129" s="437"/>
      <c r="CA129" s="437"/>
      <c r="CB129" s="437"/>
      <c r="CC129" s="437"/>
      <c r="CD129" s="437"/>
      <c r="CE129" s="437"/>
      <c r="CF129" s="437"/>
      <c r="CG129" s="437"/>
      <c r="CH129" s="437"/>
      <c r="CI129" s="437"/>
      <c r="CJ129" s="437"/>
      <c r="CK129" s="437"/>
      <c r="CL129" s="437"/>
      <c r="CM129" s="437"/>
      <c r="CN129" s="437"/>
      <c r="CO129" s="437"/>
      <c r="CP129" s="437"/>
      <c r="CQ129" s="437"/>
      <c r="CR129" s="437"/>
      <c r="CS129" s="437"/>
      <c r="CT129" s="437"/>
      <c r="CU129" s="437"/>
      <c r="CV129" s="437"/>
      <c r="CW129" s="437"/>
      <c r="CX129" s="437"/>
      <c r="CY129" s="437"/>
      <c r="CZ129" s="437"/>
      <c r="DA129" s="437"/>
    </row>
    <row r="130" spans="2:105" s="362" customFormat="1" x14ac:dyDescent="0.2">
      <c r="B130" s="12"/>
      <c r="C130" s="12"/>
      <c r="D130" s="13"/>
      <c r="E130" s="12"/>
      <c r="F130" s="12"/>
      <c r="G130" s="13"/>
      <c r="H130" s="12"/>
      <c r="I130" s="437"/>
      <c r="J130" s="437"/>
      <c r="K130" s="437"/>
      <c r="L130" s="437"/>
      <c r="M130" s="437"/>
      <c r="N130" s="437"/>
      <c r="O130" s="437"/>
      <c r="P130" s="437"/>
      <c r="Q130" s="437"/>
      <c r="R130" s="437"/>
      <c r="S130" s="437"/>
      <c r="T130" s="437"/>
      <c r="U130" s="437"/>
      <c r="V130" s="437"/>
      <c r="W130" s="437"/>
      <c r="X130" s="437"/>
      <c r="Y130" s="437"/>
      <c r="Z130" s="437"/>
      <c r="AA130" s="437"/>
      <c r="AB130" s="437"/>
      <c r="AC130" s="437"/>
      <c r="AD130" s="437"/>
      <c r="AE130" s="437"/>
      <c r="AF130" s="437"/>
      <c r="AG130" s="437"/>
      <c r="AH130" s="437"/>
      <c r="AI130" s="437"/>
      <c r="AJ130" s="437"/>
      <c r="AK130" s="437"/>
      <c r="AL130" s="437"/>
      <c r="AM130" s="437"/>
      <c r="AN130" s="437"/>
      <c r="AO130" s="437"/>
      <c r="AP130" s="437"/>
      <c r="AQ130" s="437"/>
      <c r="AR130" s="437"/>
      <c r="AS130" s="437"/>
      <c r="AT130" s="437"/>
      <c r="AU130" s="437"/>
      <c r="AV130" s="437"/>
      <c r="AW130" s="437"/>
      <c r="AX130" s="437"/>
      <c r="AY130" s="437"/>
      <c r="AZ130" s="437"/>
      <c r="BA130" s="437"/>
      <c r="BB130" s="437"/>
      <c r="BC130" s="437"/>
      <c r="BD130" s="437"/>
      <c r="BE130" s="437"/>
      <c r="BF130" s="437"/>
      <c r="BG130" s="437"/>
      <c r="BH130" s="437"/>
      <c r="BI130" s="437"/>
      <c r="BJ130" s="437"/>
      <c r="BK130" s="437"/>
      <c r="BL130" s="437"/>
      <c r="BM130" s="437"/>
      <c r="BN130" s="437"/>
      <c r="BO130" s="437"/>
      <c r="BP130" s="437"/>
      <c r="BQ130" s="437"/>
      <c r="BR130" s="437"/>
      <c r="BS130" s="437"/>
      <c r="BT130" s="437"/>
      <c r="BU130" s="437"/>
      <c r="BV130" s="437"/>
      <c r="BW130" s="437"/>
      <c r="BX130" s="437"/>
      <c r="BY130" s="437"/>
      <c r="BZ130" s="437"/>
      <c r="CA130" s="437"/>
      <c r="CB130" s="437"/>
      <c r="CC130" s="437"/>
      <c r="CD130" s="437"/>
      <c r="CE130" s="437"/>
      <c r="CF130" s="437"/>
      <c r="CG130" s="437"/>
      <c r="CH130" s="437"/>
      <c r="CI130" s="437"/>
      <c r="CJ130" s="437"/>
      <c r="CK130" s="437"/>
      <c r="CL130" s="437"/>
      <c r="CM130" s="437"/>
      <c r="CN130" s="437"/>
      <c r="CO130" s="437"/>
      <c r="CP130" s="437"/>
      <c r="CQ130" s="437"/>
      <c r="CR130" s="437"/>
      <c r="CS130" s="437"/>
      <c r="CT130" s="437"/>
      <c r="CU130" s="437"/>
      <c r="CV130" s="437"/>
      <c r="CW130" s="437"/>
      <c r="CX130" s="437"/>
      <c r="CY130" s="437"/>
      <c r="CZ130" s="437"/>
      <c r="DA130" s="437"/>
    </row>
    <row r="131" spans="2:105" s="362" customFormat="1" x14ac:dyDescent="0.2">
      <c r="B131" s="12"/>
      <c r="C131" s="12"/>
      <c r="D131" s="13"/>
      <c r="E131" s="12"/>
      <c r="F131" s="12"/>
      <c r="G131" s="13"/>
      <c r="H131" s="12"/>
      <c r="I131" s="437"/>
      <c r="J131" s="437"/>
      <c r="K131" s="437"/>
      <c r="L131" s="437"/>
      <c r="M131" s="437"/>
      <c r="N131" s="437"/>
      <c r="O131" s="437"/>
      <c r="P131" s="437"/>
      <c r="Q131" s="437"/>
      <c r="R131" s="437"/>
      <c r="S131" s="437"/>
      <c r="T131" s="437"/>
      <c r="U131" s="437"/>
      <c r="V131" s="437"/>
      <c r="W131" s="437"/>
      <c r="X131" s="437"/>
      <c r="Y131" s="437"/>
      <c r="Z131" s="437"/>
      <c r="AA131" s="437"/>
      <c r="AB131" s="437"/>
      <c r="AC131" s="437"/>
      <c r="AD131" s="437"/>
      <c r="AE131" s="437"/>
      <c r="AF131" s="437"/>
      <c r="AG131" s="437"/>
      <c r="AH131" s="437"/>
      <c r="AI131" s="437"/>
      <c r="AJ131" s="437"/>
      <c r="AK131" s="437"/>
      <c r="AL131" s="437"/>
      <c r="AM131" s="437"/>
      <c r="AN131" s="437"/>
      <c r="AO131" s="437"/>
      <c r="AP131" s="437"/>
      <c r="AQ131" s="437"/>
      <c r="AR131" s="437"/>
      <c r="AS131" s="437"/>
      <c r="AT131" s="437"/>
      <c r="AU131" s="437"/>
      <c r="AV131" s="437"/>
      <c r="AW131" s="437"/>
      <c r="AX131" s="437"/>
      <c r="AY131" s="437"/>
      <c r="AZ131" s="437"/>
      <c r="BA131" s="437"/>
      <c r="BB131" s="437"/>
      <c r="BC131" s="437"/>
      <c r="BD131" s="437"/>
      <c r="BE131" s="437"/>
      <c r="BF131" s="437"/>
      <c r="BG131" s="437"/>
      <c r="BH131" s="437"/>
      <c r="BI131" s="437"/>
      <c r="BJ131" s="437"/>
      <c r="BK131" s="437"/>
      <c r="BL131" s="437"/>
      <c r="BM131" s="437"/>
      <c r="BN131" s="437"/>
      <c r="BO131" s="437"/>
      <c r="BP131" s="437"/>
      <c r="BQ131" s="437"/>
      <c r="BR131" s="437"/>
      <c r="BS131" s="437"/>
      <c r="BT131" s="437"/>
      <c r="BU131" s="437"/>
      <c r="BV131" s="437"/>
      <c r="BW131" s="437"/>
      <c r="BX131" s="437"/>
      <c r="BY131" s="437"/>
      <c r="BZ131" s="437"/>
      <c r="CA131" s="437"/>
      <c r="CB131" s="437"/>
      <c r="CC131" s="437"/>
      <c r="CD131" s="437"/>
      <c r="CE131" s="437"/>
      <c r="CF131" s="437"/>
      <c r="CG131" s="437"/>
      <c r="CH131" s="437"/>
      <c r="CI131" s="437"/>
      <c r="CJ131" s="437"/>
      <c r="CK131" s="437"/>
      <c r="CL131" s="437"/>
      <c r="CM131" s="437"/>
      <c r="CN131" s="437"/>
      <c r="CO131" s="437"/>
      <c r="CP131" s="437"/>
      <c r="CQ131" s="437"/>
      <c r="CR131" s="437"/>
      <c r="CS131" s="437"/>
      <c r="CT131" s="437"/>
      <c r="CU131" s="437"/>
      <c r="CV131" s="437"/>
      <c r="CW131" s="437"/>
      <c r="CX131" s="437"/>
      <c r="CY131" s="437"/>
      <c r="CZ131" s="437"/>
      <c r="DA131" s="437"/>
    </row>
    <row r="132" spans="2:105" s="362" customFormat="1" x14ac:dyDescent="0.2">
      <c r="B132" s="12"/>
      <c r="C132" s="12"/>
      <c r="D132" s="13"/>
      <c r="E132" s="12"/>
      <c r="F132" s="12"/>
      <c r="G132" s="13"/>
      <c r="H132" s="12"/>
      <c r="I132" s="437"/>
      <c r="J132" s="437"/>
      <c r="K132" s="437"/>
      <c r="L132" s="437"/>
      <c r="M132" s="437"/>
      <c r="N132" s="437"/>
      <c r="O132" s="437"/>
      <c r="P132" s="437"/>
      <c r="Q132" s="437"/>
      <c r="R132" s="437"/>
      <c r="S132" s="437"/>
      <c r="T132" s="437"/>
      <c r="U132" s="437"/>
      <c r="V132" s="437"/>
      <c r="W132" s="437"/>
      <c r="X132" s="437"/>
      <c r="Y132" s="437"/>
      <c r="Z132" s="437"/>
      <c r="AA132" s="437"/>
      <c r="AB132" s="437"/>
      <c r="AC132" s="437"/>
      <c r="AD132" s="437"/>
      <c r="AE132" s="437"/>
      <c r="AF132" s="437"/>
      <c r="AG132" s="437"/>
      <c r="AH132" s="437"/>
      <c r="AI132" s="437"/>
      <c r="AJ132" s="437"/>
      <c r="AK132" s="437"/>
      <c r="AL132" s="437"/>
      <c r="AM132" s="437"/>
      <c r="AN132" s="437"/>
      <c r="AO132" s="437"/>
      <c r="AP132" s="437"/>
      <c r="AQ132" s="437"/>
      <c r="AR132" s="437"/>
      <c r="AS132" s="437"/>
      <c r="AT132" s="437"/>
      <c r="AU132" s="437"/>
      <c r="AV132" s="437"/>
      <c r="AW132" s="437"/>
      <c r="AX132" s="437"/>
      <c r="AY132" s="437"/>
      <c r="AZ132" s="437"/>
      <c r="BA132" s="437"/>
      <c r="BB132" s="437"/>
      <c r="BC132" s="437"/>
      <c r="BD132" s="437"/>
      <c r="BE132" s="437"/>
      <c r="BF132" s="437"/>
      <c r="BG132" s="437"/>
      <c r="BH132" s="437"/>
      <c r="BI132" s="437"/>
      <c r="BJ132" s="437"/>
      <c r="BK132" s="437"/>
      <c r="BL132" s="437"/>
      <c r="BM132" s="437"/>
      <c r="BN132" s="437"/>
      <c r="BO132" s="437"/>
      <c r="BP132" s="437"/>
      <c r="BQ132" s="437"/>
      <c r="BR132" s="437"/>
      <c r="BS132" s="437"/>
      <c r="BT132" s="437"/>
      <c r="BU132" s="437"/>
      <c r="BV132" s="437"/>
      <c r="BW132" s="437"/>
      <c r="BX132" s="437"/>
      <c r="BY132" s="437"/>
      <c r="BZ132" s="437"/>
      <c r="CA132" s="437"/>
      <c r="CB132" s="437"/>
      <c r="CC132" s="437"/>
      <c r="CD132" s="437"/>
      <c r="CE132" s="437"/>
      <c r="CF132" s="437"/>
      <c r="CG132" s="437"/>
      <c r="CH132" s="437"/>
      <c r="CI132" s="437"/>
      <c r="CJ132" s="437"/>
      <c r="CK132" s="437"/>
      <c r="CL132" s="437"/>
      <c r="CM132" s="437"/>
      <c r="CN132" s="437"/>
      <c r="CO132" s="437"/>
      <c r="CP132" s="437"/>
      <c r="CQ132" s="437"/>
      <c r="CR132" s="437"/>
      <c r="CS132" s="437"/>
      <c r="CT132" s="437"/>
      <c r="CU132" s="437"/>
      <c r="CV132" s="437"/>
      <c r="CW132" s="437"/>
      <c r="CX132" s="437"/>
      <c r="CY132" s="437"/>
      <c r="CZ132" s="437"/>
      <c r="DA132" s="437"/>
    </row>
    <row r="133" spans="2:105" s="362" customFormat="1" x14ac:dyDescent="0.2">
      <c r="B133" s="12"/>
      <c r="C133" s="12"/>
      <c r="D133" s="13"/>
      <c r="E133" s="12"/>
      <c r="F133" s="12"/>
      <c r="G133" s="13"/>
      <c r="H133" s="12"/>
      <c r="I133" s="437"/>
      <c r="J133" s="437"/>
      <c r="K133" s="437"/>
      <c r="L133" s="437"/>
      <c r="M133" s="437"/>
      <c r="N133" s="437"/>
      <c r="O133" s="437"/>
      <c r="P133" s="437"/>
      <c r="Q133" s="437"/>
      <c r="R133" s="437"/>
      <c r="S133" s="437"/>
      <c r="T133" s="437"/>
      <c r="U133" s="437"/>
      <c r="V133" s="437"/>
      <c r="W133" s="437"/>
      <c r="X133" s="437"/>
      <c r="Y133" s="437"/>
      <c r="Z133" s="437"/>
      <c r="AA133" s="437"/>
      <c r="AB133" s="437"/>
      <c r="AC133" s="437"/>
      <c r="AD133" s="437"/>
      <c r="AE133" s="437"/>
      <c r="AF133" s="437"/>
      <c r="AG133" s="437"/>
      <c r="AH133" s="437"/>
      <c r="AI133" s="437"/>
      <c r="AJ133" s="437"/>
      <c r="AK133" s="437"/>
      <c r="AL133" s="437"/>
      <c r="AM133" s="437"/>
      <c r="AN133" s="437"/>
      <c r="AO133" s="437"/>
      <c r="AP133" s="437"/>
      <c r="AQ133" s="437"/>
      <c r="AR133" s="437"/>
      <c r="AS133" s="437"/>
      <c r="AT133" s="437"/>
      <c r="AU133" s="437"/>
      <c r="AV133" s="437"/>
      <c r="AW133" s="437"/>
      <c r="AX133" s="437"/>
      <c r="AY133" s="437"/>
      <c r="AZ133" s="437"/>
      <c r="BA133" s="437"/>
      <c r="BB133" s="437"/>
      <c r="BC133" s="437"/>
      <c r="BD133" s="437"/>
      <c r="BE133" s="437"/>
      <c r="BF133" s="437"/>
      <c r="BG133" s="437"/>
      <c r="BH133" s="437"/>
      <c r="BI133" s="437"/>
      <c r="BJ133" s="437"/>
      <c r="BK133" s="437"/>
      <c r="BL133" s="437"/>
      <c r="BM133" s="437"/>
      <c r="BN133" s="437"/>
      <c r="BO133" s="437"/>
      <c r="BP133" s="437"/>
      <c r="BQ133" s="437"/>
      <c r="BR133" s="437"/>
      <c r="BS133" s="437"/>
      <c r="BT133" s="437"/>
      <c r="BU133" s="437"/>
      <c r="BV133" s="437"/>
      <c r="BW133" s="437"/>
      <c r="BX133" s="437"/>
      <c r="BY133" s="437"/>
      <c r="BZ133" s="437"/>
      <c r="CA133" s="437"/>
      <c r="CB133" s="437"/>
      <c r="CC133" s="437"/>
      <c r="CD133" s="437"/>
      <c r="CE133" s="437"/>
      <c r="CF133" s="437"/>
      <c r="CG133" s="437"/>
      <c r="CH133" s="437"/>
      <c r="CI133" s="437"/>
      <c r="CJ133" s="437"/>
      <c r="CK133" s="437"/>
      <c r="CL133" s="437"/>
      <c r="CM133" s="437"/>
      <c r="CN133" s="437"/>
      <c r="CO133" s="437"/>
      <c r="CP133" s="437"/>
      <c r="CQ133" s="437"/>
      <c r="CR133" s="437"/>
      <c r="CS133" s="437"/>
      <c r="CT133" s="437"/>
      <c r="CU133" s="437"/>
      <c r="CV133" s="437"/>
      <c r="CW133" s="437"/>
      <c r="CX133" s="437"/>
      <c r="CY133" s="437"/>
      <c r="CZ133" s="437"/>
      <c r="DA133" s="437"/>
    </row>
    <row r="134" spans="2:105" s="362" customFormat="1" x14ac:dyDescent="0.2">
      <c r="B134" s="12"/>
      <c r="C134" s="12"/>
      <c r="D134" s="13"/>
      <c r="E134" s="12"/>
      <c r="F134" s="12"/>
      <c r="G134" s="13"/>
      <c r="H134" s="12"/>
      <c r="I134" s="437"/>
      <c r="J134" s="437"/>
      <c r="K134" s="437"/>
      <c r="L134" s="437"/>
      <c r="M134" s="437"/>
      <c r="N134" s="437"/>
      <c r="O134" s="437"/>
      <c r="P134" s="437"/>
      <c r="Q134" s="437"/>
      <c r="R134" s="437"/>
      <c r="S134" s="437"/>
      <c r="T134" s="437"/>
      <c r="U134" s="437"/>
      <c r="V134" s="437"/>
      <c r="W134" s="437"/>
      <c r="X134" s="437"/>
      <c r="Y134" s="437"/>
      <c r="Z134" s="437"/>
      <c r="AA134" s="437"/>
      <c r="AB134" s="437"/>
      <c r="AC134" s="437"/>
      <c r="AD134" s="437"/>
      <c r="AE134" s="437"/>
      <c r="AF134" s="437"/>
      <c r="AG134" s="437"/>
      <c r="AH134" s="437"/>
      <c r="AI134" s="437"/>
      <c r="AJ134" s="437"/>
      <c r="AK134" s="437"/>
      <c r="AL134" s="437"/>
      <c r="AM134" s="437"/>
      <c r="AN134" s="437"/>
      <c r="AO134" s="437"/>
      <c r="AP134" s="437"/>
      <c r="AQ134" s="437"/>
      <c r="AR134" s="437"/>
      <c r="AS134" s="437"/>
      <c r="AT134" s="437"/>
      <c r="AU134" s="437"/>
      <c r="AV134" s="437"/>
      <c r="AW134" s="437"/>
      <c r="AX134" s="437"/>
      <c r="AY134" s="437"/>
      <c r="AZ134" s="437"/>
      <c r="BA134" s="437"/>
      <c r="BB134" s="437"/>
      <c r="BC134" s="437"/>
      <c r="BD134" s="437"/>
      <c r="BE134" s="437"/>
      <c r="BF134" s="437"/>
      <c r="BG134" s="437"/>
      <c r="BH134" s="437"/>
      <c r="BI134" s="437"/>
      <c r="BJ134" s="437"/>
      <c r="BK134" s="437"/>
      <c r="BL134" s="437"/>
      <c r="BM134" s="437"/>
      <c r="BN134" s="437"/>
      <c r="BO134" s="437"/>
      <c r="BP134" s="437"/>
      <c r="BQ134" s="437"/>
      <c r="BR134" s="437"/>
      <c r="BS134" s="437"/>
      <c r="BT134" s="437"/>
      <c r="BU134" s="437"/>
      <c r="BV134" s="437"/>
      <c r="BW134" s="437"/>
      <c r="BX134" s="437"/>
      <c r="BY134" s="437"/>
      <c r="BZ134" s="437"/>
      <c r="CA134" s="437"/>
      <c r="CB134" s="437"/>
      <c r="CC134" s="437"/>
      <c r="CD134" s="437"/>
      <c r="CE134" s="437"/>
      <c r="CF134" s="437"/>
      <c r="CG134" s="437"/>
      <c r="CH134" s="437"/>
      <c r="CI134" s="437"/>
      <c r="CJ134" s="437"/>
      <c r="CK134" s="437"/>
      <c r="CL134" s="437"/>
      <c r="CM134" s="437"/>
      <c r="CN134" s="437"/>
      <c r="CO134" s="437"/>
      <c r="CP134" s="437"/>
      <c r="CQ134" s="437"/>
      <c r="CR134" s="437"/>
      <c r="CS134" s="437"/>
      <c r="CT134" s="437"/>
      <c r="CU134" s="437"/>
      <c r="CV134" s="437"/>
      <c r="CW134" s="437"/>
      <c r="CX134" s="437"/>
      <c r="CY134" s="437"/>
      <c r="CZ134" s="437"/>
      <c r="DA134" s="437"/>
    </row>
    <row r="135" spans="2:105" s="362" customFormat="1" x14ac:dyDescent="0.2">
      <c r="B135" s="12"/>
      <c r="C135" s="12"/>
      <c r="D135" s="13"/>
      <c r="E135" s="12"/>
      <c r="F135" s="12"/>
      <c r="G135" s="13"/>
      <c r="H135" s="12"/>
      <c r="I135" s="437"/>
      <c r="J135" s="437"/>
      <c r="K135" s="437"/>
      <c r="L135" s="437"/>
      <c r="M135" s="437"/>
      <c r="N135" s="437"/>
      <c r="O135" s="437"/>
      <c r="P135" s="437"/>
      <c r="Q135" s="437"/>
      <c r="R135" s="437"/>
      <c r="S135" s="437"/>
      <c r="T135" s="437"/>
      <c r="U135" s="437"/>
      <c r="V135" s="437"/>
      <c r="W135" s="437"/>
      <c r="X135" s="437"/>
      <c r="Y135" s="437"/>
      <c r="Z135" s="437"/>
      <c r="AA135" s="437"/>
      <c r="AB135" s="437"/>
      <c r="AC135" s="437"/>
      <c r="AD135" s="437"/>
      <c r="AE135" s="437"/>
      <c r="AF135" s="437"/>
      <c r="AG135" s="437"/>
      <c r="AH135" s="437"/>
      <c r="AI135" s="437"/>
      <c r="AJ135" s="437"/>
      <c r="AK135" s="437"/>
      <c r="AL135" s="437"/>
      <c r="AM135" s="437"/>
      <c r="AN135" s="437"/>
      <c r="AO135" s="437"/>
      <c r="AP135" s="437"/>
      <c r="AQ135" s="437"/>
      <c r="AR135" s="437"/>
      <c r="AS135" s="437"/>
      <c r="AT135" s="437"/>
      <c r="AU135" s="437"/>
      <c r="AV135" s="437"/>
      <c r="AW135" s="437"/>
      <c r="AX135" s="437"/>
      <c r="AY135" s="437"/>
      <c r="AZ135" s="437"/>
      <c r="BA135" s="437"/>
      <c r="BB135" s="437"/>
      <c r="BC135" s="437"/>
      <c r="BD135" s="437"/>
      <c r="BE135" s="437"/>
      <c r="BF135" s="437"/>
      <c r="BG135" s="437"/>
      <c r="BH135" s="437"/>
      <c r="BI135" s="437"/>
      <c r="BJ135" s="437"/>
      <c r="BK135" s="437"/>
      <c r="BL135" s="437"/>
      <c r="BM135" s="437"/>
      <c r="BN135" s="437"/>
      <c r="BO135" s="437"/>
      <c r="BP135" s="437"/>
      <c r="BQ135" s="437"/>
      <c r="BR135" s="437"/>
      <c r="BS135" s="437"/>
      <c r="BT135" s="437"/>
      <c r="BU135" s="437"/>
      <c r="BV135" s="437"/>
      <c r="BW135" s="437"/>
      <c r="BX135" s="437"/>
      <c r="BY135" s="437"/>
      <c r="BZ135" s="437"/>
      <c r="CA135" s="437"/>
      <c r="CB135" s="437"/>
      <c r="CC135" s="437"/>
      <c r="CD135" s="437"/>
      <c r="CE135" s="437"/>
      <c r="CF135" s="437"/>
      <c r="CG135" s="437"/>
      <c r="CH135" s="437"/>
      <c r="CI135" s="437"/>
      <c r="CJ135" s="437"/>
      <c r="CK135" s="437"/>
      <c r="CL135" s="437"/>
      <c r="CM135" s="437"/>
      <c r="CN135" s="437"/>
      <c r="CO135" s="437"/>
      <c r="CP135" s="437"/>
      <c r="CQ135" s="437"/>
      <c r="CR135" s="437"/>
      <c r="CS135" s="437"/>
      <c r="CT135" s="437"/>
      <c r="CU135" s="437"/>
      <c r="CV135" s="437"/>
      <c r="CW135" s="437"/>
      <c r="CX135" s="437"/>
      <c r="CY135" s="437"/>
      <c r="CZ135" s="437"/>
      <c r="DA135" s="437"/>
    </row>
    <row r="136" spans="2:105" s="362" customFormat="1" x14ac:dyDescent="0.2">
      <c r="B136" s="12"/>
      <c r="C136" s="12"/>
      <c r="D136" s="13"/>
      <c r="E136" s="12"/>
      <c r="F136" s="12"/>
      <c r="G136" s="13"/>
      <c r="H136" s="12"/>
      <c r="I136" s="437"/>
      <c r="J136" s="437"/>
      <c r="K136" s="437"/>
      <c r="L136" s="437"/>
      <c r="M136" s="437"/>
      <c r="N136" s="437"/>
      <c r="O136" s="437"/>
      <c r="P136" s="437"/>
      <c r="Q136" s="437"/>
      <c r="R136" s="437"/>
      <c r="S136" s="437"/>
      <c r="T136" s="437"/>
      <c r="U136" s="437"/>
      <c r="V136" s="437"/>
      <c r="W136" s="437"/>
      <c r="X136" s="437"/>
      <c r="Y136" s="437"/>
      <c r="Z136" s="437"/>
      <c r="AA136" s="437"/>
      <c r="AB136" s="437"/>
      <c r="AC136" s="437"/>
      <c r="AD136" s="437"/>
      <c r="AE136" s="437"/>
      <c r="AF136" s="437"/>
      <c r="AG136" s="437"/>
      <c r="AH136" s="437"/>
      <c r="AI136" s="437"/>
      <c r="AJ136" s="437"/>
      <c r="AK136" s="437"/>
      <c r="AL136" s="437"/>
      <c r="AM136" s="437"/>
      <c r="AN136" s="437"/>
      <c r="AO136" s="437"/>
      <c r="AP136" s="437"/>
      <c r="AQ136" s="437"/>
      <c r="AR136" s="437"/>
      <c r="AS136" s="437"/>
      <c r="AT136" s="437"/>
      <c r="AU136" s="437"/>
      <c r="AV136" s="437"/>
      <c r="AW136" s="437"/>
      <c r="AX136" s="437"/>
      <c r="AY136" s="437"/>
      <c r="AZ136" s="437"/>
      <c r="BA136" s="437"/>
      <c r="BB136" s="437"/>
      <c r="BC136" s="437"/>
      <c r="BD136" s="437"/>
      <c r="BE136" s="437"/>
      <c r="BF136" s="437"/>
      <c r="BG136" s="437"/>
      <c r="BH136" s="437"/>
      <c r="BI136" s="437"/>
      <c r="BJ136" s="437"/>
      <c r="BK136" s="437"/>
      <c r="BL136" s="437"/>
      <c r="BM136" s="437"/>
      <c r="BN136" s="437"/>
      <c r="BO136" s="437"/>
      <c r="BP136" s="437"/>
      <c r="BQ136" s="437"/>
      <c r="BR136" s="437"/>
      <c r="BS136" s="437"/>
      <c r="BT136" s="437"/>
      <c r="BU136" s="437"/>
      <c r="BV136" s="437"/>
      <c r="BW136" s="437"/>
      <c r="BX136" s="437"/>
      <c r="BY136" s="437"/>
      <c r="BZ136" s="437"/>
      <c r="CA136" s="437"/>
      <c r="CB136" s="437"/>
      <c r="CC136" s="437"/>
      <c r="CD136" s="437"/>
      <c r="CE136" s="437"/>
      <c r="CF136" s="437"/>
      <c r="CG136" s="437"/>
      <c r="CH136" s="437"/>
      <c r="CI136" s="437"/>
      <c r="CJ136" s="437"/>
      <c r="CK136" s="437"/>
      <c r="CL136" s="437"/>
      <c r="CM136" s="437"/>
      <c r="CN136" s="437"/>
      <c r="CO136" s="437"/>
      <c r="CP136" s="437"/>
      <c r="CQ136" s="437"/>
      <c r="CR136" s="437"/>
      <c r="CS136" s="437"/>
      <c r="CT136" s="437"/>
      <c r="CU136" s="437"/>
      <c r="CV136" s="437"/>
      <c r="CW136" s="437"/>
      <c r="CX136" s="437"/>
      <c r="CY136" s="437"/>
      <c r="CZ136" s="437"/>
      <c r="DA136" s="437"/>
    </row>
    <row r="137" spans="2:105" s="362" customFormat="1" x14ac:dyDescent="0.2">
      <c r="B137" s="12"/>
      <c r="C137" s="12"/>
      <c r="D137" s="13"/>
      <c r="E137" s="12"/>
      <c r="F137" s="12"/>
      <c r="G137" s="13"/>
      <c r="H137" s="12"/>
      <c r="I137" s="437"/>
      <c r="J137" s="437"/>
      <c r="K137" s="437"/>
      <c r="L137" s="437"/>
      <c r="M137" s="437"/>
      <c r="N137" s="437"/>
      <c r="O137" s="437"/>
      <c r="P137" s="437"/>
      <c r="Q137" s="437"/>
      <c r="R137" s="437"/>
      <c r="S137" s="437"/>
      <c r="T137" s="437"/>
      <c r="U137" s="437"/>
      <c r="V137" s="437"/>
      <c r="W137" s="437"/>
      <c r="X137" s="437"/>
      <c r="Y137" s="437"/>
      <c r="Z137" s="437"/>
      <c r="AA137" s="437"/>
      <c r="AB137" s="437"/>
      <c r="AC137" s="437"/>
      <c r="AD137" s="437"/>
      <c r="AE137" s="437"/>
      <c r="AF137" s="437"/>
      <c r="AG137" s="437"/>
      <c r="AH137" s="437"/>
      <c r="AI137" s="437"/>
      <c r="AJ137" s="437"/>
      <c r="AK137" s="437"/>
      <c r="AL137" s="437"/>
      <c r="AM137" s="437"/>
      <c r="AN137" s="437"/>
      <c r="AO137" s="437"/>
      <c r="AP137" s="437"/>
      <c r="AQ137" s="437"/>
      <c r="AR137" s="437"/>
      <c r="AS137" s="437"/>
      <c r="AT137" s="437"/>
      <c r="AU137" s="437"/>
      <c r="AV137" s="437"/>
      <c r="AW137" s="437"/>
      <c r="AX137" s="437"/>
      <c r="AY137" s="437"/>
      <c r="AZ137" s="437"/>
      <c r="BA137" s="437"/>
      <c r="BB137" s="437"/>
      <c r="BC137" s="437"/>
      <c r="BD137" s="437"/>
      <c r="BE137" s="437"/>
      <c r="BF137" s="437"/>
      <c r="BG137" s="437"/>
      <c r="BH137" s="437"/>
      <c r="BI137" s="437"/>
      <c r="BJ137" s="437"/>
      <c r="BK137" s="437"/>
      <c r="BL137" s="437"/>
      <c r="BM137" s="437"/>
      <c r="BN137" s="437"/>
      <c r="BO137" s="437"/>
      <c r="BP137" s="437"/>
      <c r="BQ137" s="437"/>
      <c r="BR137" s="437"/>
      <c r="BS137" s="437"/>
      <c r="BT137" s="437"/>
      <c r="BU137" s="437"/>
      <c r="BV137" s="437"/>
      <c r="BW137" s="437"/>
      <c r="BX137" s="437"/>
      <c r="BY137" s="437"/>
      <c r="BZ137" s="437"/>
      <c r="CA137" s="437"/>
      <c r="CB137" s="437"/>
      <c r="CC137" s="437"/>
      <c r="CD137" s="437"/>
      <c r="CE137" s="437"/>
      <c r="CF137" s="437"/>
      <c r="CG137" s="437"/>
      <c r="CH137" s="437"/>
      <c r="CI137" s="437"/>
      <c r="CJ137" s="437"/>
      <c r="CK137" s="437"/>
      <c r="CL137" s="437"/>
      <c r="CM137" s="437"/>
      <c r="CN137" s="437"/>
      <c r="CO137" s="437"/>
      <c r="CP137" s="437"/>
      <c r="CQ137" s="437"/>
      <c r="CR137" s="437"/>
      <c r="CS137" s="437"/>
      <c r="CT137" s="437"/>
      <c r="CU137" s="437"/>
      <c r="CV137" s="437"/>
      <c r="CW137" s="437"/>
      <c r="CX137" s="437"/>
      <c r="CY137" s="437"/>
      <c r="CZ137" s="437"/>
      <c r="DA137" s="437"/>
    </row>
    <row r="138" spans="2:105" s="362" customFormat="1" x14ac:dyDescent="0.2">
      <c r="B138" s="12"/>
      <c r="C138" s="12"/>
      <c r="D138" s="13"/>
      <c r="E138" s="12"/>
      <c r="F138" s="12"/>
      <c r="G138" s="13"/>
      <c r="H138" s="12"/>
      <c r="I138" s="437"/>
      <c r="J138" s="437"/>
      <c r="K138" s="437"/>
      <c r="L138" s="437"/>
      <c r="M138" s="437"/>
      <c r="N138" s="437"/>
      <c r="O138" s="437"/>
      <c r="P138" s="437"/>
      <c r="Q138" s="437"/>
      <c r="R138" s="437"/>
      <c r="S138" s="437"/>
      <c r="T138" s="437"/>
      <c r="U138" s="437"/>
      <c r="V138" s="437"/>
      <c r="W138" s="437"/>
      <c r="X138" s="437"/>
      <c r="Y138" s="437"/>
      <c r="Z138" s="437"/>
      <c r="AA138" s="437"/>
      <c r="AB138" s="437"/>
      <c r="AC138" s="437"/>
      <c r="AD138" s="437"/>
      <c r="AE138" s="437"/>
      <c r="AF138" s="437"/>
      <c r="AG138" s="437"/>
      <c r="AH138" s="437"/>
      <c r="AI138" s="437"/>
      <c r="AJ138" s="437"/>
      <c r="AK138" s="437"/>
      <c r="AL138" s="437"/>
      <c r="AM138" s="437"/>
      <c r="AN138" s="437"/>
      <c r="AO138" s="437"/>
      <c r="AP138" s="437"/>
      <c r="AQ138" s="437"/>
      <c r="AR138" s="437"/>
      <c r="AS138" s="437"/>
      <c r="AT138" s="437"/>
      <c r="AU138" s="437"/>
      <c r="AV138" s="437"/>
      <c r="AW138" s="437"/>
      <c r="AX138" s="437"/>
      <c r="AY138" s="437"/>
      <c r="AZ138" s="437"/>
      <c r="BA138" s="437"/>
      <c r="BB138" s="437"/>
      <c r="BC138" s="437"/>
      <c r="BD138" s="437"/>
      <c r="BE138" s="437"/>
      <c r="BF138" s="437"/>
      <c r="BG138" s="437"/>
      <c r="BH138" s="437"/>
      <c r="BI138" s="437"/>
      <c r="BJ138" s="437"/>
      <c r="BK138" s="437"/>
      <c r="BL138" s="437"/>
      <c r="BM138" s="437"/>
      <c r="BN138" s="437"/>
      <c r="BO138" s="437"/>
      <c r="BP138" s="437"/>
      <c r="BQ138" s="437"/>
      <c r="BR138" s="437"/>
      <c r="BS138" s="437"/>
      <c r="BT138" s="437"/>
      <c r="BU138" s="437"/>
      <c r="BV138" s="437"/>
      <c r="BW138" s="437"/>
      <c r="BX138" s="437"/>
      <c r="BY138" s="437"/>
      <c r="BZ138" s="437"/>
      <c r="CA138" s="437"/>
      <c r="CB138" s="437"/>
      <c r="CC138" s="437"/>
      <c r="CD138" s="437"/>
      <c r="CE138" s="437"/>
      <c r="CF138" s="437"/>
      <c r="CG138" s="437"/>
      <c r="CH138" s="437"/>
      <c r="CI138" s="437"/>
      <c r="CJ138" s="437"/>
      <c r="CK138" s="437"/>
      <c r="CL138" s="437"/>
      <c r="CM138" s="437"/>
      <c r="CN138" s="437"/>
      <c r="CO138" s="437"/>
      <c r="CP138" s="437"/>
      <c r="CQ138" s="437"/>
      <c r="CR138" s="437"/>
      <c r="CS138" s="437"/>
      <c r="CT138" s="437"/>
      <c r="CU138" s="437"/>
      <c r="CV138" s="437"/>
      <c r="CW138" s="437"/>
      <c r="CX138" s="437"/>
      <c r="CY138" s="437"/>
      <c r="CZ138" s="437"/>
      <c r="DA138" s="437"/>
    </row>
    <row r="139" spans="2:105" s="362" customFormat="1" x14ac:dyDescent="0.2">
      <c r="B139" s="12"/>
      <c r="C139" s="12"/>
      <c r="D139" s="13"/>
      <c r="E139" s="12"/>
      <c r="F139" s="12"/>
      <c r="G139" s="13"/>
      <c r="H139" s="12"/>
      <c r="I139" s="437"/>
      <c r="J139" s="437"/>
      <c r="K139" s="437"/>
      <c r="L139" s="437"/>
      <c r="M139" s="437"/>
      <c r="N139" s="437"/>
      <c r="O139" s="437"/>
      <c r="P139" s="437"/>
      <c r="Q139" s="437"/>
      <c r="R139" s="437"/>
      <c r="S139" s="437"/>
      <c r="T139" s="437"/>
      <c r="U139" s="437"/>
      <c r="V139" s="437"/>
      <c r="W139" s="437"/>
      <c r="X139" s="437"/>
      <c r="Y139" s="437"/>
      <c r="Z139" s="437"/>
      <c r="AA139" s="437"/>
      <c r="AB139" s="437"/>
      <c r="AC139" s="437"/>
      <c r="AD139" s="437"/>
      <c r="AE139" s="437"/>
      <c r="AF139" s="437"/>
      <c r="AG139" s="437"/>
      <c r="AH139" s="437"/>
      <c r="AI139" s="437"/>
      <c r="AJ139" s="437"/>
      <c r="AK139" s="437"/>
      <c r="AL139" s="437"/>
      <c r="AM139" s="437"/>
      <c r="AN139" s="437"/>
      <c r="AO139" s="437"/>
      <c r="AP139" s="437"/>
      <c r="AQ139" s="437"/>
      <c r="AR139" s="437"/>
      <c r="AS139" s="437"/>
      <c r="AT139" s="437"/>
      <c r="AU139" s="437"/>
      <c r="AV139" s="437"/>
      <c r="AW139" s="437"/>
      <c r="AX139" s="437"/>
      <c r="AY139" s="437"/>
      <c r="AZ139" s="437"/>
      <c r="BA139" s="437"/>
      <c r="BB139" s="437"/>
      <c r="BC139" s="437"/>
      <c r="BD139" s="437"/>
      <c r="BE139" s="437"/>
      <c r="BF139" s="437"/>
      <c r="BG139" s="437"/>
      <c r="BH139" s="437"/>
      <c r="BI139" s="437"/>
      <c r="BJ139" s="437"/>
      <c r="BK139" s="437"/>
      <c r="BL139" s="437"/>
      <c r="BM139" s="437"/>
      <c r="BN139" s="437"/>
      <c r="BO139" s="437"/>
      <c r="BP139" s="437"/>
      <c r="BQ139" s="437"/>
      <c r="BR139" s="437"/>
      <c r="BS139" s="437"/>
      <c r="BT139" s="437"/>
      <c r="BU139" s="437"/>
      <c r="BV139" s="437"/>
      <c r="BW139" s="437"/>
      <c r="BX139" s="437"/>
      <c r="BY139" s="437"/>
      <c r="BZ139" s="437"/>
      <c r="CA139" s="437"/>
      <c r="CB139" s="437"/>
      <c r="CC139" s="437"/>
      <c r="CD139" s="437"/>
      <c r="CE139" s="437"/>
      <c r="CF139" s="437"/>
      <c r="CG139" s="437"/>
      <c r="CH139" s="437"/>
      <c r="CI139" s="437"/>
      <c r="CJ139" s="437"/>
      <c r="CK139" s="437"/>
      <c r="CL139" s="437"/>
      <c r="CM139" s="437"/>
      <c r="CN139" s="437"/>
      <c r="CO139" s="437"/>
      <c r="CP139" s="437"/>
      <c r="CQ139" s="437"/>
      <c r="CR139" s="437"/>
      <c r="CS139" s="437"/>
      <c r="CT139" s="437"/>
      <c r="CU139" s="437"/>
      <c r="CV139" s="437"/>
      <c r="CW139" s="437"/>
      <c r="CX139" s="437"/>
      <c r="CY139" s="437"/>
      <c r="CZ139" s="437"/>
      <c r="DA139" s="437"/>
    </row>
    <row r="140" spans="2:105" s="362" customFormat="1" x14ac:dyDescent="0.2">
      <c r="B140" s="12"/>
      <c r="C140" s="12"/>
      <c r="D140" s="13"/>
      <c r="E140" s="12"/>
      <c r="F140" s="12"/>
      <c r="G140" s="13"/>
      <c r="H140" s="12"/>
      <c r="I140" s="437"/>
      <c r="J140" s="437"/>
      <c r="K140" s="437"/>
      <c r="L140" s="437"/>
      <c r="M140" s="437"/>
      <c r="N140" s="437"/>
      <c r="O140" s="437"/>
      <c r="P140" s="437"/>
      <c r="Q140" s="437"/>
      <c r="R140" s="437"/>
      <c r="S140" s="437"/>
      <c r="T140" s="437"/>
      <c r="U140" s="437"/>
      <c r="V140" s="437"/>
      <c r="W140" s="437"/>
      <c r="X140" s="437"/>
      <c r="Y140" s="437"/>
      <c r="Z140" s="437"/>
      <c r="AA140" s="437"/>
      <c r="AB140" s="437"/>
      <c r="AC140" s="437"/>
      <c r="AD140" s="437"/>
      <c r="AE140" s="437"/>
      <c r="AF140" s="437"/>
      <c r="AG140" s="437"/>
      <c r="AH140" s="437"/>
      <c r="AI140" s="437"/>
      <c r="AJ140" s="437"/>
      <c r="AK140" s="437"/>
      <c r="AL140" s="437"/>
      <c r="AM140" s="437"/>
      <c r="AN140" s="437"/>
      <c r="AO140" s="437"/>
      <c r="AP140" s="437"/>
      <c r="AQ140" s="437"/>
      <c r="AR140" s="437"/>
      <c r="AS140" s="437"/>
      <c r="AT140" s="437"/>
      <c r="AU140" s="437"/>
      <c r="AV140" s="437"/>
      <c r="AW140" s="437"/>
      <c r="AX140" s="437"/>
      <c r="AY140" s="437"/>
      <c r="AZ140" s="437"/>
      <c r="BA140" s="437"/>
      <c r="BB140" s="437"/>
      <c r="BC140" s="437"/>
      <c r="BD140" s="437"/>
      <c r="BE140" s="437"/>
      <c r="BF140" s="437"/>
      <c r="BG140" s="437"/>
      <c r="BH140" s="437"/>
      <c r="BI140" s="437"/>
      <c r="BJ140" s="437"/>
      <c r="BK140" s="437"/>
      <c r="BL140" s="437"/>
      <c r="BM140" s="437"/>
      <c r="BN140" s="437"/>
      <c r="BO140" s="437"/>
      <c r="BP140" s="437"/>
      <c r="BQ140" s="437"/>
      <c r="BR140" s="437"/>
      <c r="BS140" s="437"/>
      <c r="BT140" s="437"/>
      <c r="BU140" s="437"/>
      <c r="BV140" s="437"/>
      <c r="BW140" s="437"/>
      <c r="BX140" s="437"/>
      <c r="BY140" s="437"/>
      <c r="BZ140" s="437"/>
      <c r="CA140" s="437"/>
      <c r="CB140" s="437"/>
      <c r="CC140" s="437"/>
      <c r="CD140" s="437"/>
      <c r="CE140" s="437"/>
      <c r="CF140" s="437"/>
      <c r="CG140" s="437"/>
      <c r="CH140" s="437"/>
      <c r="CI140" s="437"/>
      <c r="CJ140" s="437"/>
      <c r="CK140" s="437"/>
      <c r="CL140" s="437"/>
      <c r="CM140" s="437"/>
      <c r="CN140" s="437"/>
      <c r="CO140" s="437"/>
      <c r="CP140" s="437"/>
      <c r="CQ140" s="437"/>
      <c r="CR140" s="437"/>
      <c r="CS140" s="437"/>
      <c r="CT140" s="437"/>
      <c r="CU140" s="437"/>
      <c r="CV140" s="437"/>
      <c r="CW140" s="437"/>
      <c r="CX140" s="437"/>
      <c r="CY140" s="437"/>
      <c r="CZ140" s="437"/>
      <c r="DA140" s="437"/>
    </row>
    <row r="141" spans="2:105" s="362" customFormat="1" x14ac:dyDescent="0.2">
      <c r="B141" s="12"/>
      <c r="C141" s="12"/>
      <c r="D141" s="13"/>
      <c r="E141" s="12"/>
      <c r="F141" s="12"/>
      <c r="G141" s="13"/>
      <c r="H141" s="12"/>
      <c r="I141" s="437"/>
      <c r="J141" s="437"/>
      <c r="K141" s="437"/>
      <c r="L141" s="437"/>
      <c r="M141" s="437"/>
      <c r="N141" s="437"/>
      <c r="O141" s="437"/>
      <c r="P141" s="437"/>
      <c r="Q141" s="437"/>
      <c r="R141" s="437"/>
      <c r="S141" s="437"/>
      <c r="T141" s="437"/>
      <c r="U141" s="437"/>
      <c r="V141" s="437"/>
      <c r="W141" s="437"/>
      <c r="X141" s="437"/>
      <c r="Y141" s="437"/>
      <c r="Z141" s="437"/>
      <c r="AA141" s="437"/>
      <c r="AB141" s="437"/>
      <c r="AC141" s="437"/>
      <c r="AD141" s="437"/>
      <c r="AE141" s="437"/>
      <c r="AF141" s="437"/>
      <c r="AG141" s="437"/>
      <c r="AH141" s="437"/>
      <c r="AI141" s="437"/>
      <c r="AJ141" s="437"/>
      <c r="AK141" s="437"/>
      <c r="AL141" s="437"/>
      <c r="AM141" s="437"/>
      <c r="AN141" s="437"/>
      <c r="AO141" s="437"/>
      <c r="AP141" s="437"/>
      <c r="AQ141" s="437"/>
      <c r="AR141" s="437"/>
      <c r="AS141" s="437"/>
      <c r="AT141" s="437"/>
      <c r="AU141" s="437"/>
      <c r="AV141" s="437"/>
      <c r="AW141" s="437"/>
      <c r="AX141" s="437"/>
      <c r="AY141" s="437"/>
      <c r="AZ141" s="437"/>
      <c r="BA141" s="437"/>
      <c r="BB141" s="437"/>
      <c r="BC141" s="437"/>
      <c r="BD141" s="437"/>
      <c r="BE141" s="437"/>
      <c r="BF141" s="437"/>
      <c r="BG141" s="437"/>
      <c r="BH141" s="437"/>
      <c r="BI141" s="437"/>
      <c r="BJ141" s="437"/>
      <c r="BK141" s="437"/>
      <c r="BL141" s="437"/>
      <c r="BM141" s="437"/>
      <c r="BN141" s="437"/>
      <c r="BO141" s="437"/>
      <c r="BP141" s="437"/>
      <c r="BQ141" s="437"/>
      <c r="BR141" s="437"/>
      <c r="BS141" s="437"/>
      <c r="BT141" s="437"/>
      <c r="BU141" s="437"/>
      <c r="BV141" s="437"/>
      <c r="BW141" s="437"/>
      <c r="BX141" s="437"/>
      <c r="BY141" s="437"/>
      <c r="BZ141" s="437"/>
      <c r="CA141" s="437"/>
      <c r="CB141" s="437"/>
      <c r="CC141" s="437"/>
      <c r="CD141" s="437"/>
      <c r="CE141" s="437"/>
      <c r="CF141" s="437"/>
      <c r="CG141" s="437"/>
      <c r="CH141" s="437"/>
      <c r="CI141" s="437"/>
      <c r="CJ141" s="437"/>
      <c r="CK141" s="437"/>
      <c r="CL141" s="437"/>
      <c r="CM141" s="437"/>
      <c r="CN141" s="437"/>
      <c r="CO141" s="437"/>
      <c r="CP141" s="437"/>
      <c r="CQ141" s="437"/>
      <c r="CR141" s="437"/>
      <c r="CS141" s="437"/>
      <c r="CT141" s="437"/>
      <c r="CU141" s="437"/>
      <c r="CV141" s="437"/>
      <c r="CW141" s="437"/>
      <c r="CX141" s="437"/>
      <c r="CY141" s="437"/>
      <c r="CZ141" s="437"/>
      <c r="DA141" s="437"/>
    </row>
    <row r="142" spans="2:105" s="362" customFormat="1" x14ac:dyDescent="0.2">
      <c r="B142" s="12"/>
      <c r="C142" s="12"/>
      <c r="D142" s="13"/>
      <c r="E142" s="12"/>
      <c r="F142" s="12"/>
      <c r="G142" s="13"/>
      <c r="H142" s="12"/>
      <c r="I142" s="437"/>
      <c r="J142" s="437"/>
      <c r="K142" s="437"/>
      <c r="L142" s="437"/>
      <c r="M142" s="437"/>
      <c r="N142" s="437"/>
      <c r="O142" s="437"/>
      <c r="P142" s="437"/>
      <c r="Q142" s="437"/>
      <c r="R142" s="437"/>
      <c r="S142" s="437"/>
      <c r="T142" s="437"/>
      <c r="U142" s="437"/>
      <c r="V142" s="437"/>
      <c r="W142" s="437"/>
      <c r="X142" s="437"/>
      <c r="Y142" s="437"/>
      <c r="Z142" s="437"/>
      <c r="AA142" s="437"/>
      <c r="AB142" s="437"/>
      <c r="AC142" s="437"/>
      <c r="AD142" s="437"/>
      <c r="AE142" s="437"/>
      <c r="AF142" s="437"/>
      <c r="AG142" s="437"/>
      <c r="AH142" s="437"/>
      <c r="AI142" s="437"/>
      <c r="AJ142" s="437"/>
      <c r="AK142" s="437"/>
      <c r="AL142" s="437"/>
      <c r="AM142" s="437"/>
      <c r="AN142" s="437"/>
      <c r="AO142" s="437"/>
      <c r="AP142" s="437"/>
      <c r="AQ142" s="437"/>
      <c r="AR142" s="437"/>
      <c r="AS142" s="437"/>
      <c r="AT142" s="437"/>
      <c r="AU142" s="437"/>
      <c r="AV142" s="437"/>
      <c r="AW142" s="437"/>
      <c r="AX142" s="437"/>
      <c r="AY142" s="437"/>
      <c r="AZ142" s="437"/>
      <c r="BA142" s="437"/>
      <c r="BB142" s="437"/>
      <c r="BC142" s="437"/>
      <c r="BD142" s="437"/>
      <c r="BE142" s="437"/>
      <c r="BF142" s="437"/>
      <c r="BG142" s="437"/>
      <c r="BH142" s="437"/>
      <c r="BI142" s="437"/>
      <c r="BJ142" s="437"/>
      <c r="BK142" s="437"/>
      <c r="BL142" s="437"/>
      <c r="BM142" s="437"/>
      <c r="BN142" s="437"/>
      <c r="BO142" s="437"/>
      <c r="BP142" s="437"/>
      <c r="BQ142" s="437"/>
      <c r="BR142" s="437"/>
      <c r="BS142" s="437"/>
      <c r="BT142" s="437"/>
      <c r="BU142" s="437"/>
      <c r="BV142" s="437"/>
      <c r="BW142" s="437"/>
      <c r="BX142" s="437"/>
      <c r="BY142" s="437"/>
      <c r="BZ142" s="437"/>
      <c r="CA142" s="437"/>
      <c r="CB142" s="437"/>
      <c r="CC142" s="437"/>
      <c r="CD142" s="437"/>
      <c r="CE142" s="437"/>
      <c r="CF142" s="437"/>
      <c r="CG142" s="437"/>
      <c r="CH142" s="437"/>
      <c r="CI142" s="437"/>
      <c r="CJ142" s="437"/>
      <c r="CK142" s="437"/>
      <c r="CL142" s="437"/>
      <c r="CM142" s="437"/>
      <c r="CN142" s="437"/>
      <c r="CO142" s="437"/>
      <c r="CP142" s="437"/>
      <c r="CQ142" s="437"/>
      <c r="CR142" s="437"/>
      <c r="CS142" s="437"/>
      <c r="CT142" s="437"/>
      <c r="CU142" s="437"/>
      <c r="CV142" s="437"/>
      <c r="CW142" s="437"/>
      <c r="CX142" s="437"/>
      <c r="CY142" s="437"/>
      <c r="CZ142" s="437"/>
      <c r="DA142" s="437"/>
    </row>
    <row r="143" spans="2:105" s="362" customFormat="1" x14ac:dyDescent="0.2">
      <c r="B143" s="12"/>
      <c r="C143" s="12"/>
      <c r="D143" s="13"/>
      <c r="E143" s="12"/>
      <c r="F143" s="12"/>
      <c r="G143" s="13"/>
      <c r="H143" s="12"/>
      <c r="I143" s="437"/>
      <c r="J143" s="437"/>
      <c r="K143" s="437"/>
      <c r="L143" s="437"/>
      <c r="M143" s="437"/>
      <c r="N143" s="437"/>
      <c r="O143" s="437"/>
      <c r="P143" s="437"/>
      <c r="Q143" s="437"/>
      <c r="R143" s="437"/>
      <c r="S143" s="437"/>
      <c r="T143" s="437"/>
      <c r="U143" s="437"/>
      <c r="V143" s="437"/>
      <c r="W143" s="437"/>
      <c r="X143" s="437"/>
      <c r="Y143" s="437"/>
      <c r="Z143" s="437"/>
      <c r="AA143" s="437"/>
      <c r="AB143" s="437"/>
      <c r="AC143" s="437"/>
      <c r="AD143" s="437"/>
      <c r="AE143" s="437"/>
      <c r="AF143" s="437"/>
      <c r="AG143" s="437"/>
      <c r="AH143" s="437"/>
      <c r="AI143" s="437"/>
      <c r="AJ143" s="437"/>
      <c r="AK143" s="437"/>
      <c r="AL143" s="437"/>
      <c r="AM143" s="437"/>
      <c r="AN143" s="437"/>
      <c r="AO143" s="437"/>
      <c r="AP143" s="437"/>
      <c r="AQ143" s="437"/>
      <c r="AR143" s="437"/>
      <c r="AS143" s="437"/>
      <c r="AT143" s="437"/>
      <c r="AU143" s="437"/>
      <c r="AV143" s="437"/>
      <c r="AW143" s="437"/>
      <c r="AX143" s="437"/>
      <c r="AY143" s="437"/>
      <c r="AZ143" s="437"/>
      <c r="BA143" s="437"/>
      <c r="BB143" s="437"/>
      <c r="BC143" s="437"/>
      <c r="BD143" s="437"/>
      <c r="BE143" s="437"/>
      <c r="BF143" s="437"/>
      <c r="BG143" s="437"/>
      <c r="BH143" s="437"/>
      <c r="BI143" s="437"/>
      <c r="BJ143" s="437"/>
      <c r="BK143" s="437"/>
      <c r="BL143" s="437"/>
      <c r="BM143" s="437"/>
      <c r="BN143" s="437"/>
      <c r="BO143" s="437"/>
      <c r="BP143" s="437"/>
      <c r="BQ143" s="437"/>
      <c r="BR143" s="437"/>
      <c r="BS143" s="437"/>
      <c r="BT143" s="437"/>
      <c r="BU143" s="437"/>
      <c r="BV143" s="437"/>
      <c r="BW143" s="437"/>
      <c r="BX143" s="437"/>
      <c r="BY143" s="437"/>
      <c r="BZ143" s="437"/>
      <c r="CA143" s="437"/>
      <c r="CB143" s="437"/>
      <c r="CC143" s="437"/>
      <c r="CD143" s="437"/>
      <c r="CE143" s="437"/>
      <c r="CF143" s="437"/>
      <c r="CG143" s="437"/>
      <c r="CH143" s="437"/>
      <c r="CI143" s="437"/>
      <c r="CJ143" s="437"/>
      <c r="CK143" s="437"/>
      <c r="CL143" s="437"/>
      <c r="CM143" s="437"/>
      <c r="CN143" s="437"/>
      <c r="CO143" s="437"/>
      <c r="CP143" s="437"/>
      <c r="CQ143" s="437"/>
      <c r="CR143" s="437"/>
      <c r="CS143" s="437"/>
      <c r="CT143" s="437"/>
      <c r="CU143" s="437"/>
      <c r="CV143" s="437"/>
      <c r="CW143" s="437"/>
      <c r="CX143" s="437"/>
      <c r="CY143" s="437"/>
      <c r="CZ143" s="437"/>
      <c r="DA143" s="437"/>
    </row>
    <row r="144" spans="2:105" s="362" customFormat="1" x14ac:dyDescent="0.2">
      <c r="B144" s="12"/>
      <c r="C144" s="12"/>
      <c r="D144" s="13"/>
      <c r="E144" s="12"/>
      <c r="F144" s="12"/>
      <c r="G144" s="13"/>
      <c r="H144" s="12"/>
      <c r="I144" s="437"/>
      <c r="J144" s="437"/>
      <c r="K144" s="437"/>
      <c r="L144" s="437"/>
      <c r="M144" s="437"/>
      <c r="N144" s="437"/>
      <c r="O144" s="437"/>
      <c r="P144" s="437"/>
      <c r="Q144" s="437"/>
      <c r="R144" s="437"/>
      <c r="S144" s="437"/>
      <c r="T144" s="437"/>
      <c r="U144" s="437"/>
      <c r="V144" s="437"/>
      <c r="W144" s="437"/>
      <c r="X144" s="437"/>
      <c r="Y144" s="437"/>
      <c r="Z144" s="437"/>
      <c r="AA144" s="437"/>
      <c r="AB144" s="437"/>
      <c r="AC144" s="437"/>
      <c r="AD144" s="437"/>
      <c r="AE144" s="437"/>
      <c r="AF144" s="437"/>
      <c r="AG144" s="437"/>
      <c r="AH144" s="437"/>
      <c r="AI144" s="437"/>
      <c r="AJ144" s="437"/>
      <c r="AK144" s="437"/>
      <c r="AL144" s="437"/>
      <c r="AM144" s="437"/>
      <c r="AN144" s="437"/>
      <c r="AO144" s="437"/>
      <c r="AP144" s="437"/>
      <c r="AQ144" s="437"/>
      <c r="AR144" s="437"/>
      <c r="AS144" s="437"/>
      <c r="AT144" s="437"/>
      <c r="AU144" s="437"/>
      <c r="AV144" s="437"/>
      <c r="AW144" s="437"/>
      <c r="AX144" s="437"/>
      <c r="AY144" s="437"/>
      <c r="AZ144" s="437"/>
      <c r="BA144" s="437"/>
      <c r="BB144" s="437"/>
      <c r="BC144" s="437"/>
      <c r="BD144" s="437"/>
      <c r="BE144" s="437"/>
      <c r="BF144" s="437"/>
      <c r="BG144" s="437"/>
      <c r="BH144" s="437"/>
      <c r="BI144" s="437"/>
      <c r="BJ144" s="437"/>
      <c r="BK144" s="437"/>
      <c r="BL144" s="437"/>
      <c r="BM144" s="437"/>
      <c r="BN144" s="437"/>
      <c r="BO144" s="437"/>
      <c r="BP144" s="437"/>
      <c r="BQ144" s="437"/>
      <c r="BR144" s="437"/>
      <c r="BS144" s="437"/>
      <c r="BT144" s="437"/>
      <c r="BU144" s="437"/>
      <c r="BV144" s="437"/>
      <c r="BW144" s="437"/>
      <c r="BX144" s="437"/>
      <c r="BY144" s="437"/>
      <c r="BZ144" s="437"/>
      <c r="CA144" s="437"/>
      <c r="CB144" s="437"/>
      <c r="CC144" s="437"/>
      <c r="CD144" s="437"/>
      <c r="CE144" s="437"/>
      <c r="CF144" s="437"/>
      <c r="CG144" s="437"/>
      <c r="CH144" s="437"/>
      <c r="CI144" s="437"/>
      <c r="CJ144" s="437"/>
      <c r="CK144" s="437"/>
      <c r="CL144" s="437"/>
      <c r="CM144" s="437"/>
      <c r="CN144" s="437"/>
      <c r="CO144" s="437"/>
      <c r="CP144" s="437"/>
      <c r="CQ144" s="437"/>
      <c r="CR144" s="437"/>
      <c r="CS144" s="437"/>
      <c r="CT144" s="437"/>
      <c r="CU144" s="437"/>
      <c r="CV144" s="437"/>
      <c r="CW144" s="437"/>
      <c r="CX144" s="437"/>
      <c r="CY144" s="437"/>
      <c r="CZ144" s="437"/>
      <c r="DA144" s="437"/>
    </row>
    <row r="145" spans="2:105" s="362" customFormat="1" x14ac:dyDescent="0.2">
      <c r="B145" s="12"/>
      <c r="C145" s="12"/>
      <c r="D145" s="13"/>
      <c r="E145" s="12"/>
      <c r="F145" s="12"/>
      <c r="G145" s="13"/>
      <c r="H145" s="12"/>
      <c r="I145" s="437"/>
      <c r="J145" s="437"/>
      <c r="K145" s="437"/>
      <c r="L145" s="437"/>
      <c r="M145" s="437"/>
      <c r="N145" s="437"/>
      <c r="O145" s="437"/>
      <c r="P145" s="437"/>
      <c r="Q145" s="437"/>
      <c r="R145" s="437"/>
      <c r="S145" s="437"/>
      <c r="T145" s="437"/>
      <c r="U145" s="437"/>
      <c r="V145" s="437"/>
      <c r="W145" s="437"/>
      <c r="X145" s="437"/>
      <c r="Y145" s="437"/>
      <c r="Z145" s="437"/>
      <c r="AA145" s="437"/>
      <c r="AB145" s="437"/>
      <c r="AC145" s="437"/>
      <c r="AD145" s="437"/>
      <c r="AE145" s="437"/>
      <c r="AF145" s="437"/>
      <c r="AG145" s="437"/>
      <c r="AH145" s="437"/>
      <c r="AI145" s="437"/>
      <c r="AJ145" s="437"/>
      <c r="AK145" s="437"/>
      <c r="AL145" s="437"/>
      <c r="AM145" s="437"/>
      <c r="AN145" s="437"/>
      <c r="AO145" s="437"/>
      <c r="AP145" s="437"/>
      <c r="AQ145" s="437"/>
      <c r="AR145" s="437"/>
      <c r="AS145" s="437"/>
      <c r="AT145" s="437"/>
      <c r="AU145" s="437"/>
      <c r="AV145" s="437"/>
      <c r="AW145" s="437"/>
      <c r="AX145" s="437"/>
      <c r="AY145" s="437"/>
      <c r="AZ145" s="437"/>
      <c r="BA145" s="437"/>
      <c r="BB145" s="437"/>
      <c r="BC145" s="437"/>
      <c r="BD145" s="437"/>
      <c r="BE145" s="437"/>
      <c r="BF145" s="437"/>
      <c r="BG145" s="437"/>
      <c r="BH145" s="437"/>
      <c r="BI145" s="437"/>
      <c r="BJ145" s="437"/>
      <c r="BK145" s="437"/>
      <c r="BL145" s="437"/>
      <c r="BM145" s="437"/>
      <c r="BN145" s="437"/>
      <c r="BO145" s="437"/>
      <c r="BP145" s="437"/>
      <c r="BQ145" s="437"/>
      <c r="BR145" s="437"/>
      <c r="BS145" s="437"/>
      <c r="BT145" s="437"/>
      <c r="BU145" s="437"/>
      <c r="BV145" s="437"/>
      <c r="BW145" s="437"/>
      <c r="BX145" s="437"/>
      <c r="BY145" s="437"/>
      <c r="BZ145" s="437"/>
      <c r="CA145" s="437"/>
      <c r="CB145" s="437"/>
      <c r="CC145" s="437"/>
      <c r="CD145" s="437"/>
      <c r="CE145" s="437"/>
      <c r="CF145" s="437"/>
      <c r="CG145" s="437"/>
      <c r="CH145" s="437"/>
      <c r="CI145" s="437"/>
      <c r="CJ145" s="437"/>
      <c r="CK145" s="437"/>
      <c r="CL145" s="437"/>
      <c r="CM145" s="437"/>
      <c r="CN145" s="437"/>
      <c r="CO145" s="437"/>
      <c r="CP145" s="437"/>
      <c r="CQ145" s="437"/>
      <c r="CR145" s="437"/>
      <c r="CS145" s="437"/>
      <c r="CT145" s="437"/>
      <c r="CU145" s="437"/>
      <c r="CV145" s="437"/>
      <c r="CW145" s="437"/>
      <c r="CX145" s="437"/>
      <c r="CY145" s="437"/>
      <c r="CZ145" s="437"/>
      <c r="DA145" s="437"/>
    </row>
    <row r="146" spans="2:105" s="362" customFormat="1" x14ac:dyDescent="0.2">
      <c r="B146" s="12"/>
      <c r="C146" s="12"/>
      <c r="D146" s="13"/>
      <c r="E146" s="12"/>
      <c r="F146" s="12"/>
      <c r="G146" s="13"/>
      <c r="H146" s="12"/>
      <c r="I146" s="437"/>
      <c r="J146" s="437"/>
      <c r="K146" s="437"/>
      <c r="L146" s="437"/>
      <c r="M146" s="437"/>
      <c r="N146" s="437"/>
      <c r="O146" s="437"/>
      <c r="P146" s="437"/>
      <c r="Q146" s="437"/>
      <c r="R146" s="437"/>
      <c r="S146" s="437"/>
      <c r="T146" s="437"/>
      <c r="U146" s="437"/>
      <c r="V146" s="437"/>
      <c r="W146" s="437"/>
      <c r="X146" s="437"/>
      <c r="Y146" s="437"/>
      <c r="Z146" s="437"/>
      <c r="AA146" s="437"/>
      <c r="AB146" s="437"/>
      <c r="AC146" s="437"/>
      <c r="AD146" s="437"/>
      <c r="AE146" s="437"/>
      <c r="AF146" s="437"/>
      <c r="AG146" s="437"/>
      <c r="AH146" s="437"/>
      <c r="AI146" s="437"/>
      <c r="AJ146" s="437"/>
      <c r="AK146" s="437"/>
      <c r="AL146" s="437"/>
      <c r="AM146" s="437"/>
      <c r="AN146" s="437"/>
      <c r="AO146" s="437"/>
      <c r="AP146" s="437"/>
      <c r="AQ146" s="437"/>
      <c r="AR146" s="437"/>
      <c r="AS146" s="437"/>
      <c r="AT146" s="437"/>
      <c r="AU146" s="437"/>
      <c r="AV146" s="437"/>
      <c r="AW146" s="437"/>
      <c r="AX146" s="437"/>
      <c r="AY146" s="437"/>
      <c r="AZ146" s="437"/>
      <c r="BA146" s="437"/>
      <c r="BB146" s="437"/>
      <c r="BC146" s="437"/>
      <c r="BD146" s="437"/>
      <c r="BE146" s="437"/>
      <c r="BF146" s="437"/>
      <c r="BG146" s="437"/>
      <c r="BH146" s="437"/>
      <c r="BI146" s="437"/>
      <c r="BJ146" s="437"/>
      <c r="BK146" s="437"/>
      <c r="BL146" s="437"/>
      <c r="BM146" s="437"/>
      <c r="BN146" s="437"/>
      <c r="BO146" s="437"/>
      <c r="BP146" s="437"/>
      <c r="BQ146" s="437"/>
      <c r="BR146" s="437"/>
      <c r="BS146" s="437"/>
      <c r="BT146" s="437"/>
      <c r="BU146" s="437"/>
      <c r="BV146" s="437"/>
      <c r="BW146" s="437"/>
      <c r="BX146" s="437"/>
      <c r="BY146" s="437"/>
      <c r="BZ146" s="437"/>
      <c r="CA146" s="437"/>
      <c r="CB146" s="437"/>
      <c r="CC146" s="437"/>
      <c r="CD146" s="437"/>
      <c r="CE146" s="437"/>
      <c r="CF146" s="437"/>
      <c r="CG146" s="437"/>
      <c r="CH146" s="437"/>
      <c r="CI146" s="437"/>
      <c r="CJ146" s="437"/>
      <c r="CK146" s="437"/>
      <c r="CL146" s="437"/>
      <c r="CM146" s="437"/>
      <c r="CN146" s="437"/>
      <c r="CO146" s="437"/>
      <c r="CP146" s="437"/>
      <c r="CQ146" s="437"/>
      <c r="CR146" s="437"/>
      <c r="CS146" s="437"/>
      <c r="CT146" s="437"/>
      <c r="CU146" s="437"/>
      <c r="CV146" s="437"/>
      <c r="CW146" s="437"/>
      <c r="CX146" s="437"/>
      <c r="CY146" s="437"/>
      <c r="CZ146" s="437"/>
      <c r="DA146" s="437"/>
    </row>
    <row r="147" spans="2:105" s="362" customFormat="1" x14ac:dyDescent="0.2">
      <c r="B147" s="12"/>
      <c r="C147" s="12"/>
      <c r="D147" s="13"/>
      <c r="E147" s="12"/>
      <c r="F147" s="12"/>
      <c r="G147" s="13"/>
      <c r="H147" s="12"/>
      <c r="I147" s="437"/>
      <c r="J147" s="437"/>
      <c r="K147" s="437"/>
      <c r="L147" s="437"/>
      <c r="M147" s="437"/>
      <c r="N147" s="437"/>
      <c r="O147" s="437"/>
      <c r="P147" s="437"/>
      <c r="Q147" s="437"/>
      <c r="R147" s="437"/>
      <c r="S147" s="437"/>
      <c r="T147" s="437"/>
      <c r="U147" s="437"/>
      <c r="V147" s="437"/>
      <c r="W147" s="437"/>
      <c r="X147" s="437"/>
      <c r="Y147" s="437"/>
      <c r="Z147" s="437"/>
      <c r="AA147" s="437"/>
      <c r="AB147" s="437"/>
      <c r="AC147" s="437"/>
      <c r="AD147" s="437"/>
      <c r="AE147" s="437"/>
      <c r="AF147" s="437"/>
      <c r="AG147" s="437"/>
      <c r="AH147" s="437"/>
      <c r="AI147" s="437"/>
      <c r="AJ147" s="437"/>
      <c r="AK147" s="437"/>
      <c r="AL147" s="437"/>
      <c r="AM147" s="437"/>
      <c r="AN147" s="437"/>
      <c r="AO147" s="437"/>
      <c r="AP147" s="437"/>
      <c r="AQ147" s="437"/>
      <c r="AR147" s="437"/>
      <c r="AS147" s="437"/>
      <c r="AT147" s="437"/>
      <c r="AU147" s="437"/>
      <c r="AV147" s="437"/>
      <c r="AW147" s="437"/>
      <c r="AX147" s="437"/>
      <c r="AY147" s="437"/>
      <c r="AZ147" s="437"/>
      <c r="BA147" s="437"/>
      <c r="BB147" s="437"/>
      <c r="BC147" s="437"/>
      <c r="BD147" s="437"/>
      <c r="BE147" s="437"/>
      <c r="BF147" s="437"/>
      <c r="BG147" s="437"/>
      <c r="BH147" s="437"/>
      <c r="BI147" s="437"/>
      <c r="BJ147" s="437"/>
      <c r="BK147" s="437"/>
      <c r="BL147" s="437"/>
      <c r="BM147" s="437"/>
      <c r="BN147" s="437"/>
      <c r="BO147" s="437"/>
      <c r="BP147" s="437"/>
      <c r="BQ147" s="437"/>
      <c r="BR147" s="437"/>
      <c r="BS147" s="437"/>
      <c r="BT147" s="437"/>
      <c r="BU147" s="437"/>
      <c r="BV147" s="437"/>
      <c r="BW147" s="437"/>
      <c r="BX147" s="437"/>
      <c r="BY147" s="437"/>
      <c r="BZ147" s="437"/>
      <c r="CA147" s="437"/>
      <c r="CB147" s="437"/>
      <c r="CC147" s="437"/>
      <c r="CD147" s="437"/>
      <c r="CE147" s="437"/>
      <c r="CF147" s="437"/>
      <c r="CG147" s="437"/>
      <c r="CH147" s="437"/>
      <c r="CI147" s="437"/>
      <c r="CJ147" s="437"/>
      <c r="CK147" s="437"/>
      <c r="CL147" s="437"/>
      <c r="CM147" s="437"/>
      <c r="CN147" s="437"/>
      <c r="CO147" s="437"/>
      <c r="CP147" s="437"/>
      <c r="CQ147" s="437"/>
      <c r="CR147" s="437"/>
      <c r="CS147" s="437"/>
      <c r="CT147" s="437"/>
      <c r="CU147" s="437"/>
      <c r="CV147" s="437"/>
      <c r="CW147" s="437"/>
      <c r="CX147" s="437"/>
      <c r="CY147" s="437"/>
      <c r="CZ147" s="437"/>
      <c r="DA147" s="437"/>
    </row>
    <row r="148" spans="2:105" s="362" customFormat="1" x14ac:dyDescent="0.2">
      <c r="B148" s="12"/>
      <c r="C148" s="12"/>
      <c r="D148" s="13"/>
      <c r="E148" s="12"/>
      <c r="F148" s="12"/>
      <c r="G148" s="13"/>
      <c r="H148" s="12"/>
      <c r="I148" s="437"/>
      <c r="J148" s="437"/>
      <c r="K148" s="437"/>
      <c r="L148" s="437"/>
      <c r="M148" s="437"/>
      <c r="N148" s="437"/>
      <c r="O148" s="437"/>
      <c r="P148" s="437"/>
      <c r="Q148" s="437"/>
      <c r="R148" s="437"/>
      <c r="S148" s="437"/>
      <c r="T148" s="437"/>
      <c r="U148" s="437"/>
      <c r="V148" s="437"/>
      <c r="W148" s="437"/>
      <c r="X148" s="437"/>
      <c r="Y148" s="437"/>
      <c r="Z148" s="437"/>
      <c r="AA148" s="437"/>
      <c r="AB148" s="437"/>
      <c r="AC148" s="437"/>
      <c r="AD148" s="437"/>
      <c r="AE148" s="437"/>
      <c r="AF148" s="437"/>
      <c r="AG148" s="437"/>
      <c r="AH148" s="437"/>
      <c r="AI148" s="437"/>
      <c r="AJ148" s="437"/>
      <c r="AK148" s="437"/>
      <c r="AL148" s="437"/>
      <c r="AM148" s="437"/>
      <c r="AN148" s="437"/>
      <c r="AO148" s="437"/>
      <c r="AP148" s="437"/>
      <c r="AQ148" s="437"/>
      <c r="AR148" s="437"/>
      <c r="AS148" s="437"/>
      <c r="AT148" s="437"/>
      <c r="AU148" s="437"/>
      <c r="AV148" s="437"/>
      <c r="AW148" s="437"/>
      <c r="AX148" s="437"/>
      <c r="AY148" s="437"/>
      <c r="AZ148" s="437"/>
      <c r="BA148" s="437"/>
      <c r="BB148" s="437"/>
      <c r="BC148" s="437"/>
      <c r="BD148" s="437"/>
      <c r="BE148" s="437"/>
      <c r="BF148" s="437"/>
      <c r="BG148" s="437"/>
      <c r="BH148" s="437"/>
      <c r="BI148" s="437"/>
      <c r="BJ148" s="437"/>
      <c r="BK148" s="437"/>
      <c r="BL148" s="437"/>
      <c r="BM148" s="437"/>
      <c r="BN148" s="437"/>
      <c r="BO148" s="437"/>
      <c r="BP148" s="437"/>
      <c r="BQ148" s="437"/>
      <c r="BR148" s="437"/>
      <c r="BS148" s="437"/>
      <c r="BT148" s="437"/>
      <c r="BU148" s="437"/>
      <c r="BV148" s="437"/>
      <c r="BW148" s="437"/>
      <c r="BX148" s="437"/>
      <c r="BY148" s="437"/>
      <c r="BZ148" s="437"/>
      <c r="CA148" s="437"/>
      <c r="CB148" s="437"/>
      <c r="CC148" s="437"/>
      <c r="CD148" s="437"/>
      <c r="CE148" s="437"/>
      <c r="CF148" s="437"/>
      <c r="CG148" s="437"/>
      <c r="CH148" s="437"/>
      <c r="CI148" s="437"/>
      <c r="CJ148" s="437"/>
      <c r="CK148" s="437"/>
      <c r="CL148" s="437"/>
      <c r="CM148" s="437"/>
      <c r="CN148" s="437"/>
      <c r="CO148" s="437"/>
      <c r="CP148" s="437"/>
      <c r="CQ148" s="437"/>
      <c r="CR148" s="437"/>
      <c r="CS148" s="437"/>
      <c r="CT148" s="437"/>
      <c r="CU148" s="437"/>
      <c r="CV148" s="437"/>
      <c r="CW148" s="437"/>
      <c r="CX148" s="437"/>
      <c r="CY148" s="437"/>
      <c r="CZ148" s="437"/>
      <c r="DA148" s="437"/>
    </row>
    <row r="149" spans="2:105" s="362" customFormat="1" x14ac:dyDescent="0.2">
      <c r="B149" s="12"/>
      <c r="C149" s="12"/>
      <c r="D149" s="13"/>
      <c r="E149" s="12"/>
      <c r="F149" s="12"/>
      <c r="G149" s="13"/>
      <c r="H149" s="12"/>
      <c r="I149" s="437"/>
      <c r="J149" s="437"/>
      <c r="K149" s="437"/>
      <c r="L149" s="437"/>
      <c r="M149" s="437"/>
      <c r="N149" s="437"/>
      <c r="O149" s="437"/>
      <c r="P149" s="437"/>
      <c r="Q149" s="437"/>
      <c r="R149" s="437"/>
      <c r="S149" s="437"/>
      <c r="T149" s="437"/>
      <c r="U149" s="437"/>
      <c r="V149" s="437"/>
      <c r="W149" s="437"/>
      <c r="X149" s="437"/>
      <c r="Y149" s="437"/>
      <c r="Z149" s="437"/>
      <c r="AA149" s="437"/>
      <c r="AB149" s="437"/>
      <c r="AC149" s="437"/>
      <c r="AD149" s="437"/>
      <c r="AE149" s="437"/>
      <c r="AF149" s="437"/>
      <c r="AG149" s="437"/>
      <c r="AH149" s="437"/>
      <c r="AI149" s="437"/>
      <c r="AJ149" s="437"/>
      <c r="AK149" s="437"/>
      <c r="AL149" s="437"/>
      <c r="AM149" s="437"/>
      <c r="AN149" s="437"/>
      <c r="AO149" s="437"/>
      <c r="AP149" s="437"/>
      <c r="AQ149" s="437"/>
      <c r="AR149" s="437"/>
      <c r="AS149" s="437"/>
      <c r="AT149" s="437"/>
      <c r="AU149" s="437"/>
      <c r="AV149" s="437"/>
      <c r="AW149" s="437"/>
      <c r="AX149" s="437"/>
      <c r="AY149" s="437"/>
      <c r="AZ149" s="437"/>
      <c r="BA149" s="437"/>
      <c r="BB149" s="437"/>
      <c r="BC149" s="437"/>
      <c r="BD149" s="437"/>
      <c r="BE149" s="437"/>
      <c r="BF149" s="437"/>
      <c r="BG149" s="437"/>
      <c r="BH149" s="437"/>
      <c r="BI149" s="437"/>
      <c r="BJ149" s="437"/>
      <c r="BK149" s="437"/>
      <c r="BL149" s="437"/>
      <c r="BM149" s="437"/>
      <c r="BN149" s="437"/>
      <c r="BO149" s="437"/>
      <c r="BP149" s="437"/>
      <c r="BQ149" s="437"/>
      <c r="BR149" s="437"/>
      <c r="BS149" s="437"/>
      <c r="BT149" s="437"/>
      <c r="BU149" s="437"/>
      <c r="BV149" s="437"/>
      <c r="BW149" s="437"/>
      <c r="BX149" s="437"/>
      <c r="BY149" s="437"/>
      <c r="BZ149" s="437"/>
      <c r="CA149" s="437"/>
      <c r="CB149" s="437"/>
      <c r="CC149" s="437"/>
      <c r="CD149" s="437"/>
      <c r="CE149" s="437"/>
      <c r="CF149" s="437"/>
      <c r="CG149" s="437"/>
      <c r="CH149" s="437"/>
      <c r="CI149" s="437"/>
      <c r="CJ149" s="437"/>
      <c r="CK149" s="437"/>
      <c r="CL149" s="437"/>
      <c r="CM149" s="437"/>
      <c r="CN149" s="437"/>
      <c r="CO149" s="437"/>
      <c r="CP149" s="437"/>
      <c r="CQ149" s="437"/>
      <c r="CR149" s="437"/>
      <c r="CS149" s="437"/>
      <c r="CT149" s="437"/>
      <c r="CU149" s="437"/>
      <c r="CV149" s="437"/>
      <c r="CW149" s="437"/>
      <c r="CX149" s="437"/>
      <c r="CY149" s="437"/>
      <c r="CZ149" s="437"/>
      <c r="DA149" s="437"/>
    </row>
    <row r="150" spans="2:105" s="362" customFormat="1" x14ac:dyDescent="0.2">
      <c r="B150" s="12"/>
      <c r="C150" s="12"/>
      <c r="D150" s="13"/>
      <c r="E150" s="12"/>
      <c r="F150" s="12"/>
      <c r="G150" s="13"/>
      <c r="H150" s="12"/>
      <c r="I150" s="437"/>
      <c r="J150" s="437"/>
      <c r="K150" s="437"/>
      <c r="L150" s="437"/>
      <c r="M150" s="437"/>
      <c r="N150" s="437"/>
      <c r="O150" s="437"/>
      <c r="P150" s="437"/>
      <c r="Q150" s="437"/>
      <c r="R150" s="437"/>
      <c r="S150" s="437"/>
      <c r="T150" s="437"/>
      <c r="U150" s="437"/>
      <c r="V150" s="437"/>
      <c r="W150" s="437"/>
      <c r="X150" s="437"/>
      <c r="Y150" s="437"/>
      <c r="Z150" s="437"/>
      <c r="AA150" s="437"/>
      <c r="AB150" s="437"/>
      <c r="AC150" s="437"/>
      <c r="AD150" s="437"/>
      <c r="AE150" s="437"/>
      <c r="AF150" s="437"/>
      <c r="AG150" s="437"/>
      <c r="AH150" s="437"/>
      <c r="AI150" s="437"/>
      <c r="AJ150" s="437"/>
      <c r="AK150" s="437"/>
      <c r="AL150" s="437"/>
      <c r="AM150" s="437"/>
      <c r="AN150" s="437"/>
      <c r="AO150" s="437"/>
      <c r="AP150" s="437"/>
      <c r="AQ150" s="437"/>
      <c r="AR150" s="437"/>
      <c r="AS150" s="437"/>
      <c r="AT150" s="437"/>
      <c r="AU150" s="437"/>
      <c r="AV150" s="437"/>
      <c r="AW150" s="437"/>
      <c r="AX150" s="437"/>
      <c r="AY150" s="437"/>
      <c r="AZ150" s="437"/>
      <c r="BA150" s="437"/>
      <c r="BB150" s="437"/>
      <c r="BC150" s="437"/>
      <c r="BD150" s="437"/>
      <c r="BE150" s="437"/>
      <c r="BF150" s="437"/>
      <c r="BG150" s="437"/>
      <c r="BH150" s="437"/>
      <c r="BI150" s="437"/>
      <c r="BJ150" s="437"/>
      <c r="BK150" s="437"/>
      <c r="BL150" s="437"/>
      <c r="BM150" s="437"/>
      <c r="BN150" s="437"/>
      <c r="BO150" s="437"/>
      <c r="BP150" s="437"/>
      <c r="BQ150" s="437"/>
      <c r="BR150" s="437"/>
      <c r="BS150" s="437"/>
      <c r="BT150" s="437"/>
      <c r="BU150" s="437"/>
      <c r="BV150" s="437"/>
      <c r="BW150" s="437"/>
      <c r="BX150" s="437"/>
      <c r="BY150" s="437"/>
      <c r="BZ150" s="437"/>
      <c r="CA150" s="437"/>
      <c r="CB150" s="437"/>
      <c r="CC150" s="437"/>
      <c r="CD150" s="437"/>
      <c r="CE150" s="437"/>
      <c r="CF150" s="437"/>
      <c r="CG150" s="437"/>
      <c r="CH150" s="437"/>
      <c r="CI150" s="437"/>
      <c r="CJ150" s="437"/>
      <c r="CK150" s="437"/>
      <c r="CL150" s="437"/>
      <c r="CM150" s="437"/>
      <c r="CN150" s="437"/>
      <c r="CO150" s="437"/>
      <c r="CP150" s="437"/>
      <c r="CQ150" s="437"/>
      <c r="CR150" s="437"/>
      <c r="CS150" s="437"/>
      <c r="CT150" s="437"/>
      <c r="CU150" s="437"/>
      <c r="CV150" s="437"/>
      <c r="CW150" s="437"/>
      <c r="CX150" s="437"/>
      <c r="CY150" s="437"/>
      <c r="CZ150" s="437"/>
      <c r="DA150" s="437"/>
    </row>
    <row r="151" spans="2:105" s="362" customFormat="1" x14ac:dyDescent="0.2">
      <c r="B151" s="12"/>
      <c r="C151" s="12"/>
      <c r="D151" s="13"/>
      <c r="E151" s="12"/>
      <c r="F151" s="12"/>
      <c r="G151" s="13"/>
      <c r="H151" s="12"/>
      <c r="I151" s="437"/>
      <c r="J151" s="437"/>
      <c r="K151" s="437"/>
      <c r="L151" s="437"/>
      <c r="M151" s="437"/>
      <c r="N151" s="437"/>
      <c r="O151" s="437"/>
      <c r="P151" s="437"/>
      <c r="Q151" s="437"/>
      <c r="R151" s="437"/>
      <c r="S151" s="437"/>
      <c r="T151" s="437"/>
      <c r="U151" s="437"/>
      <c r="V151" s="437"/>
      <c r="W151" s="437"/>
      <c r="X151" s="437"/>
      <c r="Y151" s="437"/>
      <c r="Z151" s="437"/>
      <c r="AA151" s="437"/>
      <c r="AB151" s="437"/>
      <c r="AC151" s="437"/>
      <c r="AD151" s="437"/>
      <c r="AE151" s="437"/>
      <c r="AF151" s="437"/>
      <c r="AG151" s="437"/>
      <c r="AH151" s="437"/>
      <c r="AI151" s="437"/>
      <c r="AJ151" s="437"/>
      <c r="AK151" s="437"/>
      <c r="AL151" s="437"/>
      <c r="AM151" s="437"/>
      <c r="AN151" s="437"/>
      <c r="AO151" s="437"/>
      <c r="AP151" s="437"/>
      <c r="AQ151" s="437"/>
      <c r="AR151" s="437"/>
      <c r="AS151" s="437"/>
      <c r="AT151" s="437"/>
      <c r="AU151" s="437"/>
      <c r="AV151" s="437"/>
      <c r="AW151" s="437"/>
      <c r="AX151" s="437"/>
      <c r="AY151" s="437"/>
      <c r="AZ151" s="437"/>
      <c r="BA151" s="437"/>
      <c r="BB151" s="437"/>
      <c r="BC151" s="437"/>
      <c r="BD151" s="437"/>
      <c r="BE151" s="437"/>
      <c r="BF151" s="437"/>
      <c r="BG151" s="437"/>
      <c r="BH151" s="437"/>
      <c r="BI151" s="437"/>
      <c r="BJ151" s="437"/>
      <c r="BK151" s="437"/>
      <c r="BL151" s="437"/>
      <c r="BM151" s="437"/>
      <c r="BN151" s="437"/>
      <c r="BO151" s="437"/>
      <c r="BP151" s="437"/>
      <c r="BQ151" s="437"/>
      <c r="BR151" s="437"/>
      <c r="BS151" s="437"/>
      <c r="BT151" s="437"/>
      <c r="BU151" s="437"/>
      <c r="BV151" s="437"/>
      <c r="BW151" s="437"/>
      <c r="BX151" s="437"/>
      <c r="BY151" s="437"/>
      <c r="BZ151" s="437"/>
      <c r="CA151" s="437"/>
      <c r="CB151" s="437"/>
      <c r="CC151" s="437"/>
      <c r="CD151" s="437"/>
      <c r="CE151" s="437"/>
      <c r="CF151" s="437"/>
      <c r="CG151" s="437"/>
      <c r="CH151" s="437"/>
      <c r="CI151" s="437"/>
      <c r="CJ151" s="437"/>
      <c r="CK151" s="437"/>
      <c r="CL151" s="437"/>
      <c r="CM151" s="437"/>
      <c r="CN151" s="437"/>
      <c r="CO151" s="437"/>
      <c r="CP151" s="437"/>
      <c r="CQ151" s="437"/>
      <c r="CR151" s="437"/>
      <c r="CS151" s="437"/>
      <c r="CT151" s="437"/>
      <c r="CU151" s="437"/>
      <c r="CV151" s="437"/>
      <c r="CW151" s="437"/>
      <c r="CX151" s="437"/>
      <c r="CY151" s="437"/>
      <c r="CZ151" s="437"/>
      <c r="DA151" s="437"/>
    </row>
    <row r="152" spans="2:105" s="362" customFormat="1" x14ac:dyDescent="0.2">
      <c r="B152" s="12"/>
      <c r="C152" s="12"/>
      <c r="D152" s="13"/>
      <c r="E152" s="12"/>
      <c r="F152" s="12"/>
      <c r="G152" s="13"/>
      <c r="H152" s="12"/>
      <c r="I152" s="437"/>
      <c r="J152" s="437"/>
      <c r="K152" s="437"/>
      <c r="L152" s="437"/>
      <c r="M152" s="437"/>
      <c r="N152" s="437"/>
      <c r="O152" s="437"/>
      <c r="P152" s="437"/>
      <c r="Q152" s="437"/>
      <c r="R152" s="437"/>
      <c r="S152" s="437"/>
      <c r="T152" s="437"/>
      <c r="U152" s="437"/>
      <c r="V152" s="437"/>
      <c r="W152" s="437"/>
      <c r="X152" s="437"/>
      <c r="Y152" s="437"/>
      <c r="Z152" s="437"/>
      <c r="AA152" s="437"/>
      <c r="AB152" s="437"/>
      <c r="AC152" s="437"/>
      <c r="AD152" s="437"/>
      <c r="AE152" s="437"/>
      <c r="AF152" s="437"/>
      <c r="AG152" s="437"/>
      <c r="AH152" s="437"/>
      <c r="AI152" s="437"/>
      <c r="AJ152" s="437"/>
      <c r="AK152" s="437"/>
      <c r="AL152" s="437"/>
      <c r="AM152" s="437"/>
      <c r="AN152" s="437"/>
      <c r="AO152" s="437"/>
      <c r="AP152" s="437"/>
      <c r="AQ152" s="437"/>
      <c r="AR152" s="437"/>
      <c r="AS152" s="437"/>
      <c r="AT152" s="437"/>
      <c r="AU152" s="437"/>
      <c r="AV152" s="437"/>
      <c r="AW152" s="437"/>
      <c r="AX152" s="437"/>
      <c r="AY152" s="437"/>
      <c r="AZ152" s="437"/>
      <c r="BA152" s="437"/>
      <c r="BB152" s="437"/>
      <c r="BC152" s="437"/>
      <c r="BD152" s="437"/>
      <c r="BE152" s="437"/>
      <c r="BF152" s="437"/>
      <c r="BG152" s="437"/>
      <c r="BH152" s="437"/>
      <c r="BI152" s="437"/>
      <c r="BJ152" s="437"/>
      <c r="BK152" s="437"/>
      <c r="BL152" s="437"/>
      <c r="BM152" s="437"/>
      <c r="BN152" s="437"/>
      <c r="BO152" s="437"/>
      <c r="BP152" s="437"/>
      <c r="BQ152" s="437"/>
      <c r="BR152" s="437"/>
      <c r="BS152" s="437"/>
      <c r="BT152" s="437"/>
      <c r="BU152" s="437"/>
      <c r="BV152" s="437"/>
      <c r="BW152" s="437"/>
      <c r="BX152" s="437"/>
      <c r="BY152" s="437"/>
      <c r="BZ152" s="437"/>
      <c r="CA152" s="437"/>
      <c r="CB152" s="437"/>
      <c r="CC152" s="437"/>
      <c r="CD152" s="437"/>
      <c r="CE152" s="437"/>
      <c r="CF152" s="437"/>
      <c r="CG152" s="437"/>
      <c r="CH152" s="437"/>
      <c r="CI152" s="437"/>
      <c r="CJ152" s="437"/>
      <c r="CK152" s="437"/>
      <c r="CL152" s="437"/>
      <c r="CM152" s="437"/>
      <c r="CN152" s="437"/>
      <c r="CO152" s="437"/>
      <c r="CP152" s="437"/>
      <c r="CQ152" s="437"/>
      <c r="CR152" s="437"/>
      <c r="CS152" s="437"/>
      <c r="CT152" s="437"/>
      <c r="CU152" s="437"/>
      <c r="CV152" s="437"/>
      <c r="CW152" s="437"/>
      <c r="CX152" s="437"/>
      <c r="CY152" s="437"/>
      <c r="CZ152" s="437"/>
      <c r="DA152" s="437"/>
    </row>
    <row r="153" spans="2:105" s="362" customFormat="1" x14ac:dyDescent="0.2">
      <c r="B153" s="12"/>
      <c r="C153" s="12"/>
      <c r="D153" s="13"/>
      <c r="E153" s="12"/>
      <c r="F153" s="12"/>
      <c r="G153" s="13"/>
      <c r="H153" s="12"/>
      <c r="I153" s="437"/>
      <c r="J153" s="437"/>
      <c r="K153" s="437"/>
      <c r="L153" s="437"/>
      <c r="M153" s="437"/>
      <c r="N153" s="437"/>
      <c r="O153" s="437"/>
      <c r="P153" s="437"/>
      <c r="Q153" s="437"/>
      <c r="R153" s="437"/>
      <c r="S153" s="437"/>
      <c r="T153" s="437"/>
      <c r="U153" s="437"/>
      <c r="V153" s="437"/>
      <c r="W153" s="437"/>
      <c r="X153" s="437"/>
      <c r="Y153" s="437"/>
      <c r="Z153" s="437"/>
      <c r="AA153" s="437"/>
      <c r="AB153" s="437"/>
      <c r="AC153" s="437"/>
      <c r="AD153" s="437"/>
      <c r="AE153" s="437"/>
      <c r="AF153" s="437"/>
      <c r="AG153" s="437"/>
      <c r="AH153" s="437"/>
      <c r="AI153" s="437"/>
      <c r="AJ153" s="437"/>
      <c r="AK153" s="437"/>
      <c r="AL153" s="437"/>
      <c r="AM153" s="437"/>
      <c r="AN153" s="437"/>
      <c r="AO153" s="437"/>
      <c r="AP153" s="437"/>
      <c r="AQ153" s="437"/>
      <c r="AR153" s="437"/>
      <c r="AS153" s="437"/>
      <c r="AT153" s="437"/>
      <c r="AU153" s="437"/>
      <c r="AV153" s="437"/>
      <c r="AW153" s="437"/>
      <c r="AX153" s="437"/>
      <c r="AY153" s="437"/>
      <c r="AZ153" s="437"/>
      <c r="BA153" s="437"/>
      <c r="BB153" s="437"/>
      <c r="BC153" s="437"/>
      <c r="BD153" s="437"/>
      <c r="BE153" s="437"/>
      <c r="BF153" s="437"/>
      <c r="BG153" s="437"/>
      <c r="BH153" s="437"/>
      <c r="BI153" s="437"/>
      <c r="BJ153" s="437"/>
      <c r="BK153" s="437"/>
      <c r="BL153" s="437"/>
      <c r="BM153" s="437"/>
      <c r="BN153" s="437"/>
      <c r="BO153" s="437"/>
      <c r="BP153" s="437"/>
      <c r="BQ153" s="437"/>
      <c r="BR153" s="437"/>
      <c r="BS153" s="437"/>
      <c r="BT153" s="437"/>
      <c r="BU153" s="437"/>
      <c r="BV153" s="437"/>
      <c r="BW153" s="437"/>
      <c r="BX153" s="437"/>
      <c r="BY153" s="437"/>
      <c r="BZ153" s="437"/>
      <c r="CA153" s="437"/>
      <c r="CB153" s="437"/>
      <c r="CC153" s="437"/>
      <c r="CD153" s="437"/>
      <c r="CE153" s="437"/>
      <c r="CF153" s="437"/>
      <c r="CG153" s="437"/>
      <c r="CH153" s="437"/>
      <c r="CI153" s="437"/>
      <c r="CJ153" s="437"/>
      <c r="CK153" s="437"/>
      <c r="CL153" s="437"/>
      <c r="CM153" s="437"/>
      <c r="CN153" s="437"/>
      <c r="CO153" s="437"/>
      <c r="CP153" s="437"/>
      <c r="CQ153" s="437"/>
      <c r="CR153" s="437"/>
      <c r="CS153" s="437"/>
      <c r="CT153" s="437"/>
      <c r="CU153" s="437"/>
      <c r="CV153" s="437"/>
      <c r="CW153" s="437"/>
      <c r="CX153" s="437"/>
      <c r="CY153" s="437"/>
      <c r="CZ153" s="437"/>
      <c r="DA153" s="437"/>
    </row>
    <row r="154" spans="2:105" s="362" customFormat="1" x14ac:dyDescent="0.2">
      <c r="B154" s="12"/>
      <c r="C154" s="12"/>
      <c r="D154" s="13"/>
      <c r="E154" s="12"/>
      <c r="F154" s="12"/>
      <c r="G154" s="13"/>
      <c r="H154" s="12"/>
      <c r="I154" s="437"/>
      <c r="J154" s="437"/>
      <c r="K154" s="437"/>
      <c r="L154" s="437"/>
      <c r="M154" s="437"/>
      <c r="N154" s="437"/>
      <c r="O154" s="437"/>
      <c r="P154" s="437"/>
      <c r="Q154" s="437"/>
      <c r="R154" s="437"/>
      <c r="S154" s="437"/>
      <c r="T154" s="437"/>
      <c r="U154" s="437"/>
      <c r="V154" s="437"/>
      <c r="W154" s="437"/>
      <c r="X154" s="437"/>
      <c r="Y154" s="437"/>
      <c r="Z154" s="437"/>
      <c r="AA154" s="437"/>
      <c r="AB154" s="437"/>
      <c r="AC154" s="437"/>
      <c r="AD154" s="437"/>
      <c r="AE154" s="437"/>
      <c r="AF154" s="437"/>
      <c r="AG154" s="437"/>
      <c r="AH154" s="437"/>
      <c r="AI154" s="437"/>
      <c r="AJ154" s="437"/>
      <c r="AK154" s="437"/>
      <c r="AL154" s="437"/>
      <c r="AM154" s="437"/>
      <c r="AN154" s="437"/>
      <c r="AO154" s="437"/>
      <c r="AP154" s="437"/>
      <c r="AQ154" s="437"/>
      <c r="AR154" s="437"/>
      <c r="AS154" s="437"/>
      <c r="AT154" s="437"/>
      <c r="AU154" s="437"/>
      <c r="AV154" s="437"/>
      <c r="AW154" s="437"/>
      <c r="AX154" s="437"/>
      <c r="AY154" s="437"/>
      <c r="AZ154" s="437"/>
      <c r="BA154" s="437"/>
      <c r="BB154" s="437"/>
      <c r="BC154" s="437"/>
      <c r="BD154" s="437"/>
      <c r="BE154" s="437"/>
      <c r="BF154" s="437"/>
      <c r="BG154" s="437"/>
      <c r="BH154" s="437"/>
      <c r="BI154" s="437"/>
      <c r="BJ154" s="437"/>
      <c r="BK154" s="437"/>
      <c r="BL154" s="437"/>
      <c r="BM154" s="437"/>
      <c r="BN154" s="437"/>
      <c r="BO154" s="437"/>
      <c r="BP154" s="437"/>
      <c r="BQ154" s="437"/>
      <c r="BR154" s="437"/>
      <c r="BS154" s="437"/>
      <c r="BT154" s="437"/>
      <c r="BU154" s="437"/>
      <c r="BV154" s="437"/>
      <c r="BW154" s="437"/>
      <c r="BX154" s="437"/>
      <c r="BY154" s="437"/>
      <c r="BZ154" s="437"/>
      <c r="CA154" s="437"/>
      <c r="CB154" s="437"/>
      <c r="CC154" s="437"/>
      <c r="CD154" s="437"/>
      <c r="CE154" s="437"/>
      <c r="CF154" s="437"/>
      <c r="CG154" s="437"/>
      <c r="CH154" s="437"/>
      <c r="CI154" s="437"/>
      <c r="CJ154" s="437"/>
      <c r="CK154" s="437"/>
      <c r="CL154" s="437"/>
      <c r="CM154" s="437"/>
      <c r="CN154" s="437"/>
      <c r="CO154" s="437"/>
      <c r="CP154" s="437"/>
      <c r="CQ154" s="437"/>
      <c r="CR154" s="437"/>
      <c r="CS154" s="437"/>
      <c r="CT154" s="437"/>
      <c r="CU154" s="437"/>
      <c r="CV154" s="437"/>
      <c r="CW154" s="437"/>
      <c r="CX154" s="437"/>
      <c r="CY154" s="437"/>
      <c r="CZ154" s="437"/>
      <c r="DA154" s="437"/>
    </row>
    <row r="155" spans="2:105" s="362" customFormat="1" x14ac:dyDescent="0.2">
      <c r="B155" s="12"/>
      <c r="C155" s="12"/>
      <c r="D155" s="13"/>
      <c r="E155" s="12"/>
      <c r="F155" s="12"/>
      <c r="G155" s="13"/>
      <c r="H155" s="12"/>
      <c r="I155" s="437"/>
      <c r="J155" s="437"/>
      <c r="K155" s="437"/>
      <c r="L155" s="437"/>
      <c r="M155" s="437"/>
      <c r="N155" s="437"/>
      <c r="O155" s="437"/>
      <c r="P155" s="437"/>
      <c r="Q155" s="437"/>
      <c r="R155" s="437"/>
      <c r="S155" s="437"/>
      <c r="T155" s="437"/>
      <c r="U155" s="437"/>
      <c r="V155" s="437"/>
      <c r="W155" s="437"/>
      <c r="X155" s="437"/>
      <c r="Y155" s="437"/>
      <c r="Z155" s="437"/>
      <c r="AA155" s="437"/>
      <c r="AB155" s="437"/>
      <c r="AC155" s="437"/>
      <c r="AD155" s="437"/>
      <c r="AE155" s="437"/>
      <c r="AF155" s="437"/>
      <c r="AG155" s="437"/>
      <c r="AH155" s="437"/>
      <c r="AI155" s="437"/>
      <c r="AJ155" s="437"/>
      <c r="AK155" s="437"/>
      <c r="AL155" s="437"/>
      <c r="AM155" s="437"/>
      <c r="AN155" s="437"/>
      <c r="AO155" s="437"/>
      <c r="AP155" s="437"/>
      <c r="AQ155" s="437"/>
      <c r="AR155" s="437"/>
      <c r="AS155" s="437"/>
      <c r="AT155" s="437"/>
      <c r="AU155" s="437"/>
      <c r="AV155" s="437"/>
      <c r="AW155" s="437"/>
      <c r="AX155" s="437"/>
      <c r="AY155" s="437"/>
      <c r="AZ155" s="437"/>
      <c r="BA155" s="437"/>
      <c r="BB155" s="437"/>
      <c r="BC155" s="437"/>
      <c r="BD155" s="437"/>
      <c r="BE155" s="437"/>
      <c r="BF155" s="437"/>
      <c r="BG155" s="437"/>
      <c r="BH155" s="437"/>
      <c r="BI155" s="437"/>
      <c r="BJ155" s="437"/>
      <c r="BK155" s="437"/>
      <c r="BL155" s="437"/>
      <c r="BM155" s="437"/>
      <c r="BN155" s="437"/>
      <c r="BO155" s="437"/>
      <c r="BP155" s="437"/>
      <c r="BQ155" s="437"/>
      <c r="BR155" s="437"/>
      <c r="BS155" s="437"/>
      <c r="BT155" s="437"/>
      <c r="BU155" s="437"/>
      <c r="BV155" s="437"/>
      <c r="BW155" s="437"/>
      <c r="BX155" s="437"/>
      <c r="BY155" s="437"/>
      <c r="BZ155" s="437"/>
      <c r="CA155" s="437"/>
      <c r="CB155" s="437"/>
      <c r="CC155" s="437"/>
      <c r="CD155" s="437"/>
      <c r="CE155" s="437"/>
      <c r="CF155" s="437"/>
      <c r="CG155" s="437"/>
      <c r="CH155" s="437"/>
      <c r="CI155" s="437"/>
      <c r="CJ155" s="437"/>
      <c r="CK155" s="437"/>
      <c r="CL155" s="437"/>
      <c r="CM155" s="437"/>
      <c r="CN155" s="437"/>
      <c r="CO155" s="437"/>
      <c r="CP155" s="437"/>
      <c r="CQ155" s="437"/>
      <c r="CR155" s="437"/>
      <c r="CS155" s="437"/>
      <c r="CT155" s="437"/>
      <c r="CU155" s="437"/>
      <c r="CV155" s="437"/>
      <c r="CW155" s="437"/>
      <c r="CX155" s="437"/>
      <c r="CY155" s="437"/>
      <c r="CZ155" s="437"/>
      <c r="DA155" s="437"/>
    </row>
    <row r="156" spans="2:105" s="362" customFormat="1" x14ac:dyDescent="0.2">
      <c r="B156" s="12"/>
      <c r="C156" s="12"/>
      <c r="D156" s="13"/>
      <c r="E156" s="12"/>
      <c r="F156" s="12"/>
      <c r="G156" s="13"/>
      <c r="H156" s="12"/>
      <c r="I156" s="437"/>
      <c r="J156" s="437"/>
      <c r="K156" s="437"/>
      <c r="L156" s="437"/>
      <c r="M156" s="437"/>
      <c r="N156" s="437"/>
      <c r="O156" s="437"/>
      <c r="P156" s="437"/>
      <c r="Q156" s="437"/>
      <c r="R156" s="437"/>
      <c r="S156" s="437"/>
      <c r="T156" s="437"/>
      <c r="U156" s="437"/>
      <c r="V156" s="437"/>
      <c r="W156" s="437"/>
      <c r="X156" s="437"/>
      <c r="Y156" s="437"/>
      <c r="Z156" s="437"/>
      <c r="AA156" s="437"/>
      <c r="AB156" s="437"/>
      <c r="AC156" s="437"/>
      <c r="AD156" s="437"/>
      <c r="AE156" s="437"/>
      <c r="AF156" s="437"/>
      <c r="AG156" s="437"/>
      <c r="AH156" s="437"/>
      <c r="AI156" s="437"/>
      <c r="AJ156" s="437"/>
      <c r="AK156" s="437"/>
      <c r="AL156" s="437"/>
      <c r="AM156" s="437"/>
      <c r="AN156" s="437"/>
      <c r="AO156" s="437"/>
      <c r="AP156" s="437"/>
      <c r="AQ156" s="437"/>
      <c r="AR156" s="437"/>
      <c r="AS156" s="437"/>
      <c r="AT156" s="437"/>
      <c r="AU156" s="437"/>
      <c r="AV156" s="437"/>
      <c r="AW156" s="437"/>
      <c r="AX156" s="437"/>
      <c r="AY156" s="437"/>
      <c r="AZ156" s="437"/>
      <c r="BA156" s="437"/>
      <c r="BB156" s="437"/>
      <c r="BC156" s="437"/>
      <c r="BD156" s="437"/>
      <c r="BE156" s="437"/>
      <c r="BF156" s="437"/>
      <c r="BG156" s="437"/>
      <c r="BH156" s="437"/>
      <c r="BI156" s="437"/>
      <c r="BJ156" s="437"/>
      <c r="BK156" s="437"/>
      <c r="BL156" s="437"/>
      <c r="BM156" s="437"/>
      <c r="BN156" s="437"/>
      <c r="BO156" s="437"/>
      <c r="BP156" s="437"/>
      <c r="BQ156" s="437"/>
      <c r="BR156" s="437"/>
      <c r="BS156" s="437"/>
      <c r="BT156" s="437"/>
      <c r="BU156" s="437"/>
      <c r="BV156" s="437"/>
      <c r="BW156" s="437"/>
      <c r="BX156" s="437"/>
      <c r="BY156" s="437"/>
      <c r="BZ156" s="437"/>
      <c r="CA156" s="437"/>
      <c r="CB156" s="437"/>
      <c r="CC156" s="437"/>
      <c r="CD156" s="437"/>
      <c r="CE156" s="437"/>
      <c r="CF156" s="437"/>
      <c r="CG156" s="437"/>
      <c r="CH156" s="437"/>
      <c r="CI156" s="437"/>
      <c r="CJ156" s="437"/>
      <c r="CK156" s="437"/>
      <c r="CL156" s="437"/>
      <c r="CM156" s="437"/>
      <c r="CN156" s="437"/>
      <c r="CO156" s="437"/>
      <c r="CP156" s="437"/>
      <c r="CQ156" s="437"/>
      <c r="CR156" s="437"/>
      <c r="CS156" s="437"/>
      <c r="CT156" s="437"/>
      <c r="CU156" s="437"/>
      <c r="CV156" s="437"/>
      <c r="CW156" s="437"/>
      <c r="CX156" s="437"/>
      <c r="CY156" s="437"/>
      <c r="CZ156" s="437"/>
      <c r="DA156" s="437"/>
    </row>
    <row r="157" spans="2:105" s="362" customFormat="1" x14ac:dyDescent="0.2">
      <c r="B157" s="12"/>
      <c r="C157" s="12"/>
      <c r="D157" s="13"/>
      <c r="E157" s="12"/>
      <c r="F157" s="12"/>
      <c r="G157" s="13"/>
      <c r="H157" s="12"/>
      <c r="I157" s="437"/>
      <c r="J157" s="437"/>
      <c r="K157" s="437"/>
      <c r="L157" s="437"/>
      <c r="M157" s="437"/>
      <c r="N157" s="437"/>
      <c r="O157" s="437"/>
      <c r="P157" s="437"/>
      <c r="Q157" s="437"/>
      <c r="R157" s="437"/>
      <c r="S157" s="437"/>
      <c r="T157" s="437"/>
      <c r="U157" s="437"/>
      <c r="V157" s="437"/>
      <c r="W157" s="437"/>
      <c r="X157" s="437"/>
      <c r="Y157" s="437"/>
      <c r="Z157" s="437"/>
      <c r="AA157" s="437"/>
      <c r="AB157" s="437"/>
      <c r="AC157" s="437"/>
      <c r="AD157" s="437"/>
      <c r="AE157" s="437"/>
      <c r="AF157" s="437"/>
      <c r="AG157" s="437"/>
      <c r="AH157" s="437"/>
      <c r="AI157" s="437"/>
      <c r="AJ157" s="437"/>
      <c r="AK157" s="437"/>
      <c r="AL157" s="437"/>
      <c r="AM157" s="437"/>
      <c r="AN157" s="437"/>
      <c r="AO157" s="437"/>
      <c r="AP157" s="437"/>
      <c r="AQ157" s="437"/>
      <c r="AR157" s="437"/>
      <c r="AS157" s="437"/>
      <c r="AT157" s="437"/>
      <c r="AU157" s="437"/>
      <c r="AV157" s="437"/>
      <c r="AW157" s="437"/>
      <c r="AX157" s="437"/>
      <c r="AY157" s="437"/>
      <c r="AZ157" s="437"/>
      <c r="BA157" s="437"/>
      <c r="BB157" s="437"/>
      <c r="BC157" s="437"/>
      <c r="BD157" s="437"/>
      <c r="BE157" s="437"/>
      <c r="BF157" s="437"/>
      <c r="BG157" s="437"/>
      <c r="BH157" s="437"/>
      <c r="BI157" s="437"/>
      <c r="BJ157" s="437"/>
      <c r="BK157" s="437"/>
      <c r="BL157" s="437"/>
      <c r="BM157" s="437"/>
      <c r="BN157" s="437"/>
      <c r="BO157" s="437"/>
      <c r="BP157" s="437"/>
      <c r="BQ157" s="437"/>
      <c r="BR157" s="437"/>
      <c r="BS157" s="437"/>
      <c r="BT157" s="437"/>
      <c r="BU157" s="437"/>
      <c r="BV157" s="437"/>
      <c r="BW157" s="437"/>
      <c r="BX157" s="437"/>
      <c r="BY157" s="437"/>
      <c r="BZ157" s="437"/>
      <c r="CA157" s="437"/>
      <c r="CB157" s="437"/>
      <c r="CC157" s="437"/>
      <c r="CD157" s="437"/>
      <c r="CE157" s="437"/>
      <c r="CF157" s="437"/>
      <c r="CG157" s="437"/>
      <c r="CH157" s="437"/>
      <c r="CI157" s="437"/>
      <c r="CJ157" s="437"/>
      <c r="CK157" s="437"/>
      <c r="CL157" s="437"/>
      <c r="CM157" s="437"/>
      <c r="CN157" s="437"/>
      <c r="CO157" s="437"/>
      <c r="CP157" s="437"/>
      <c r="CQ157" s="437"/>
      <c r="CR157" s="437"/>
      <c r="CS157" s="437"/>
      <c r="CT157" s="437"/>
      <c r="CU157" s="437"/>
      <c r="CV157" s="437"/>
      <c r="CW157" s="437"/>
      <c r="CX157" s="437"/>
      <c r="CY157" s="437"/>
      <c r="CZ157" s="437"/>
      <c r="DA157" s="437"/>
    </row>
    <row r="158" spans="2:105" s="362" customFormat="1" x14ac:dyDescent="0.2">
      <c r="B158" s="12"/>
      <c r="C158" s="12"/>
      <c r="D158" s="13"/>
      <c r="E158" s="12"/>
      <c r="F158" s="12"/>
      <c r="G158" s="13"/>
      <c r="H158" s="12"/>
      <c r="I158" s="437"/>
      <c r="J158" s="437"/>
      <c r="K158" s="437"/>
      <c r="L158" s="437"/>
      <c r="M158" s="437"/>
      <c r="N158" s="437"/>
      <c r="O158" s="437"/>
      <c r="P158" s="437"/>
      <c r="Q158" s="437"/>
      <c r="R158" s="437"/>
      <c r="S158" s="437"/>
      <c r="T158" s="437"/>
      <c r="U158" s="437"/>
      <c r="V158" s="437"/>
      <c r="W158" s="437"/>
      <c r="X158" s="437"/>
      <c r="Y158" s="437"/>
      <c r="Z158" s="437"/>
      <c r="AA158" s="437"/>
      <c r="AB158" s="437"/>
      <c r="AC158" s="437"/>
      <c r="AD158" s="437"/>
      <c r="AE158" s="437"/>
      <c r="AF158" s="437"/>
      <c r="AG158" s="437"/>
      <c r="AH158" s="437"/>
      <c r="AI158" s="437"/>
      <c r="AJ158" s="437"/>
      <c r="AK158" s="437"/>
      <c r="AL158" s="437"/>
      <c r="AM158" s="437"/>
      <c r="AN158" s="437"/>
      <c r="AO158" s="437"/>
      <c r="AP158" s="437"/>
      <c r="AQ158" s="437"/>
      <c r="AR158" s="437"/>
      <c r="AS158" s="437"/>
      <c r="AT158" s="437"/>
      <c r="AU158" s="437"/>
      <c r="AV158" s="437"/>
      <c r="AW158" s="437"/>
      <c r="AX158" s="437"/>
      <c r="AY158" s="437"/>
      <c r="AZ158" s="437"/>
      <c r="BA158" s="437"/>
      <c r="BB158" s="437"/>
      <c r="BC158" s="437"/>
      <c r="BD158" s="437"/>
      <c r="BE158" s="437"/>
      <c r="BF158" s="437"/>
      <c r="BG158" s="437"/>
      <c r="BH158" s="437"/>
      <c r="BI158" s="437"/>
      <c r="BJ158" s="437"/>
      <c r="BK158" s="437"/>
      <c r="BL158" s="437"/>
      <c r="BM158" s="437"/>
      <c r="BN158" s="437"/>
      <c r="BO158" s="437"/>
      <c r="BP158" s="437"/>
      <c r="BQ158" s="437"/>
      <c r="BR158" s="437"/>
      <c r="BS158" s="437"/>
      <c r="BT158" s="437"/>
      <c r="BU158" s="437"/>
      <c r="BV158" s="437"/>
      <c r="BW158" s="437"/>
      <c r="BX158" s="437"/>
      <c r="BY158" s="437"/>
      <c r="BZ158" s="437"/>
      <c r="CA158" s="437"/>
      <c r="CB158" s="437"/>
      <c r="CC158" s="437"/>
      <c r="CD158" s="437"/>
      <c r="CE158" s="437"/>
      <c r="CF158" s="437"/>
      <c r="CG158" s="437"/>
      <c r="CH158" s="437"/>
      <c r="CI158" s="437"/>
      <c r="CJ158" s="437"/>
      <c r="CK158" s="437"/>
      <c r="CL158" s="437"/>
      <c r="CM158" s="437"/>
      <c r="CN158" s="437"/>
      <c r="CO158" s="437"/>
      <c r="CP158" s="437"/>
      <c r="CQ158" s="437"/>
      <c r="CR158" s="437"/>
      <c r="CS158" s="437"/>
      <c r="CT158" s="437"/>
      <c r="CU158" s="437"/>
      <c r="CV158" s="437"/>
      <c r="CW158" s="437"/>
      <c r="CX158" s="437"/>
      <c r="CY158" s="437"/>
      <c r="CZ158" s="437"/>
      <c r="DA158" s="437"/>
    </row>
    <row r="159" spans="2:105" s="362" customFormat="1" x14ac:dyDescent="0.2">
      <c r="B159" s="12"/>
      <c r="C159" s="12"/>
      <c r="D159" s="13"/>
      <c r="E159" s="12"/>
      <c r="F159" s="12"/>
      <c r="G159" s="13"/>
      <c r="H159" s="12"/>
      <c r="I159" s="437"/>
      <c r="J159" s="437"/>
      <c r="K159" s="437"/>
      <c r="L159" s="437"/>
      <c r="M159" s="437"/>
      <c r="N159" s="437"/>
      <c r="O159" s="437"/>
      <c r="P159" s="437"/>
      <c r="Q159" s="437"/>
      <c r="R159" s="437"/>
      <c r="S159" s="437"/>
      <c r="T159" s="437"/>
      <c r="U159" s="437"/>
      <c r="V159" s="437"/>
      <c r="W159" s="437"/>
      <c r="X159" s="437"/>
      <c r="Y159" s="437"/>
      <c r="Z159" s="437"/>
      <c r="AA159" s="437"/>
      <c r="AB159" s="437"/>
      <c r="AC159" s="437"/>
      <c r="AD159" s="437"/>
      <c r="AE159" s="437"/>
      <c r="AF159" s="437"/>
      <c r="AG159" s="437"/>
      <c r="AH159" s="437"/>
      <c r="AI159" s="437"/>
      <c r="AJ159" s="437"/>
      <c r="AK159" s="437"/>
      <c r="AL159" s="437"/>
      <c r="AM159" s="437"/>
      <c r="AN159" s="437"/>
      <c r="AO159" s="437"/>
      <c r="AP159" s="437"/>
      <c r="AQ159" s="437"/>
      <c r="AR159" s="437"/>
      <c r="AS159" s="437"/>
      <c r="AT159" s="437"/>
      <c r="AU159" s="437"/>
      <c r="AV159" s="437"/>
      <c r="AW159" s="437"/>
      <c r="AX159" s="437"/>
      <c r="AY159" s="437"/>
      <c r="AZ159" s="437"/>
      <c r="BA159" s="437"/>
      <c r="BB159" s="437"/>
      <c r="BC159" s="437"/>
      <c r="BD159" s="437"/>
      <c r="BE159" s="437"/>
      <c r="BF159" s="437"/>
      <c r="BG159" s="437"/>
      <c r="BH159" s="437"/>
      <c r="BI159" s="437"/>
      <c r="BJ159" s="437"/>
      <c r="BK159" s="437"/>
      <c r="BL159" s="437"/>
      <c r="BM159" s="437"/>
      <c r="BN159" s="437"/>
      <c r="BO159" s="437"/>
      <c r="BP159" s="437"/>
      <c r="BQ159" s="437"/>
      <c r="BR159" s="437"/>
      <c r="BS159" s="437"/>
      <c r="BT159" s="437"/>
      <c r="BU159" s="437"/>
      <c r="BV159" s="437"/>
      <c r="BW159" s="437"/>
      <c r="BX159" s="437"/>
      <c r="BY159" s="437"/>
      <c r="BZ159" s="437"/>
      <c r="CA159" s="437"/>
      <c r="CB159" s="437"/>
      <c r="CC159" s="437"/>
      <c r="CD159" s="437"/>
      <c r="CE159" s="437"/>
      <c r="CF159" s="437"/>
      <c r="CG159" s="437"/>
      <c r="CH159" s="437"/>
      <c r="CI159" s="437"/>
      <c r="CJ159" s="437"/>
      <c r="CK159" s="437"/>
      <c r="CL159" s="437"/>
      <c r="CM159" s="437"/>
      <c r="CN159" s="437"/>
      <c r="CO159" s="437"/>
      <c r="CP159" s="437"/>
      <c r="CQ159" s="437"/>
      <c r="CR159" s="437"/>
      <c r="CS159" s="437"/>
      <c r="CT159" s="437"/>
      <c r="CU159" s="437"/>
      <c r="CV159" s="437"/>
      <c r="CW159" s="437"/>
      <c r="CX159" s="437"/>
      <c r="CY159" s="437"/>
      <c r="CZ159" s="437"/>
      <c r="DA159" s="437"/>
    </row>
    <row r="160" spans="2:105" s="362" customFormat="1" x14ac:dyDescent="0.2">
      <c r="B160" s="12"/>
      <c r="C160" s="12"/>
      <c r="D160" s="13"/>
      <c r="E160" s="12"/>
      <c r="F160" s="12"/>
      <c r="G160" s="13"/>
      <c r="H160" s="12"/>
      <c r="I160" s="437"/>
      <c r="J160" s="437"/>
      <c r="K160" s="437"/>
      <c r="L160" s="437"/>
      <c r="M160" s="437"/>
      <c r="N160" s="437"/>
      <c r="O160" s="437"/>
      <c r="P160" s="437"/>
      <c r="Q160" s="437"/>
      <c r="R160" s="437"/>
      <c r="S160" s="437"/>
      <c r="T160" s="437"/>
      <c r="U160" s="437"/>
      <c r="V160" s="437"/>
      <c r="W160" s="437"/>
      <c r="X160" s="437"/>
      <c r="Y160" s="437"/>
      <c r="Z160" s="437"/>
      <c r="AA160" s="437"/>
      <c r="AB160" s="437"/>
      <c r="AC160" s="437"/>
      <c r="AD160" s="437"/>
      <c r="AE160" s="437"/>
      <c r="AF160" s="437"/>
      <c r="AG160" s="437"/>
      <c r="AH160" s="437"/>
      <c r="AI160" s="437"/>
      <c r="AJ160" s="437"/>
      <c r="AK160" s="437"/>
      <c r="AL160" s="437"/>
      <c r="AM160" s="437"/>
      <c r="AN160" s="437"/>
      <c r="AO160" s="437"/>
      <c r="AP160" s="437"/>
      <c r="AQ160" s="437"/>
      <c r="AR160" s="437"/>
      <c r="AS160" s="437"/>
      <c r="AT160" s="437"/>
      <c r="AU160" s="437"/>
      <c r="AV160" s="437"/>
      <c r="AW160" s="437"/>
      <c r="AX160" s="437"/>
      <c r="AY160" s="437"/>
      <c r="AZ160" s="437"/>
      <c r="BA160" s="437"/>
      <c r="BB160" s="437"/>
      <c r="BC160" s="437"/>
      <c r="BD160" s="437"/>
      <c r="BE160" s="437"/>
      <c r="BF160" s="437"/>
      <c r="BG160" s="437"/>
      <c r="BH160" s="437"/>
      <c r="BI160" s="437"/>
      <c r="BJ160" s="437"/>
      <c r="BK160" s="437"/>
      <c r="BL160" s="437"/>
      <c r="BM160" s="437"/>
      <c r="BN160" s="437"/>
      <c r="BO160" s="437"/>
      <c r="BP160" s="437"/>
      <c r="BQ160" s="437"/>
      <c r="BR160" s="437"/>
      <c r="BS160" s="437"/>
      <c r="BT160" s="437"/>
      <c r="BU160" s="437"/>
      <c r="BV160" s="437"/>
      <c r="BW160" s="437"/>
      <c r="BX160" s="437"/>
      <c r="BY160" s="437"/>
      <c r="BZ160" s="437"/>
      <c r="CA160" s="437"/>
      <c r="CB160" s="437"/>
      <c r="CC160" s="437"/>
      <c r="CD160" s="437"/>
      <c r="CE160" s="437"/>
      <c r="CF160" s="437"/>
      <c r="CG160" s="437"/>
      <c r="CH160" s="437"/>
      <c r="CI160" s="437"/>
      <c r="CJ160" s="437"/>
      <c r="CK160" s="437"/>
      <c r="CL160" s="437"/>
      <c r="CM160" s="437"/>
      <c r="CN160" s="437"/>
      <c r="CO160" s="437"/>
      <c r="CP160" s="437"/>
      <c r="CQ160" s="437"/>
      <c r="CR160" s="437"/>
      <c r="CS160" s="437"/>
      <c r="CT160" s="437"/>
      <c r="CU160" s="437"/>
      <c r="CV160" s="437"/>
      <c r="CW160" s="437"/>
      <c r="CX160" s="437"/>
      <c r="CY160" s="437"/>
      <c r="CZ160" s="437"/>
      <c r="DA160" s="437"/>
    </row>
    <row r="161" spans="2:105" s="362" customFormat="1" x14ac:dyDescent="0.2">
      <c r="B161" s="12"/>
      <c r="C161" s="12"/>
      <c r="D161" s="13"/>
      <c r="E161" s="12"/>
      <c r="F161" s="12"/>
      <c r="G161" s="13"/>
      <c r="H161" s="12"/>
      <c r="I161" s="437"/>
      <c r="J161" s="437"/>
      <c r="K161" s="437"/>
      <c r="L161" s="437"/>
      <c r="M161" s="437"/>
      <c r="N161" s="437"/>
      <c r="O161" s="437"/>
      <c r="P161" s="437"/>
      <c r="Q161" s="437"/>
      <c r="R161" s="437"/>
      <c r="S161" s="437"/>
      <c r="T161" s="437"/>
      <c r="U161" s="437"/>
      <c r="V161" s="437"/>
      <c r="W161" s="437"/>
      <c r="X161" s="437"/>
      <c r="Y161" s="437"/>
      <c r="Z161" s="437"/>
      <c r="AA161" s="437"/>
      <c r="AB161" s="437"/>
      <c r="AC161" s="437"/>
      <c r="AD161" s="437"/>
      <c r="AE161" s="437"/>
      <c r="AF161" s="437"/>
      <c r="AG161" s="437"/>
      <c r="AH161" s="437"/>
      <c r="AI161" s="437"/>
      <c r="AJ161" s="437"/>
      <c r="AK161" s="437"/>
      <c r="AL161" s="437"/>
      <c r="AM161" s="437"/>
      <c r="AN161" s="437"/>
      <c r="AO161" s="437"/>
      <c r="AP161" s="437"/>
      <c r="AQ161" s="437"/>
      <c r="AR161" s="437"/>
      <c r="AS161" s="437"/>
      <c r="AT161" s="437"/>
      <c r="AU161" s="437"/>
      <c r="AV161" s="437"/>
      <c r="AW161" s="437"/>
      <c r="AX161" s="437"/>
      <c r="AY161" s="437"/>
      <c r="AZ161" s="437"/>
      <c r="BA161" s="437"/>
      <c r="BB161" s="437"/>
      <c r="BC161" s="437"/>
      <c r="BD161" s="437"/>
      <c r="BE161" s="437"/>
      <c r="BF161" s="437"/>
      <c r="BG161" s="437"/>
      <c r="BH161" s="437"/>
      <c r="BI161" s="437"/>
      <c r="BJ161" s="437"/>
      <c r="BK161" s="437"/>
      <c r="BL161" s="437"/>
      <c r="BM161" s="437"/>
      <c r="BN161" s="437"/>
      <c r="BO161" s="437"/>
      <c r="BP161" s="437"/>
      <c r="BQ161" s="437"/>
      <c r="BR161" s="437"/>
      <c r="BS161" s="437"/>
      <c r="BT161" s="437"/>
      <c r="BU161" s="437"/>
      <c r="BV161" s="437"/>
      <c r="BW161" s="437"/>
      <c r="BX161" s="437"/>
      <c r="BY161" s="437"/>
      <c r="BZ161" s="437"/>
      <c r="CA161" s="437"/>
      <c r="CB161" s="437"/>
      <c r="CC161" s="437"/>
      <c r="CD161" s="437"/>
      <c r="CE161" s="437"/>
      <c r="CF161" s="437"/>
      <c r="CG161" s="437"/>
      <c r="CH161" s="437"/>
      <c r="CI161" s="437"/>
      <c r="CJ161" s="437"/>
      <c r="CK161" s="437"/>
      <c r="CL161" s="437"/>
      <c r="CM161" s="437"/>
      <c r="CN161" s="437"/>
      <c r="CO161" s="437"/>
      <c r="CP161" s="437"/>
      <c r="CQ161" s="437"/>
      <c r="CR161" s="437"/>
      <c r="CS161" s="437"/>
      <c r="CT161" s="437"/>
      <c r="CU161" s="437"/>
      <c r="CV161" s="437"/>
      <c r="CW161" s="437"/>
      <c r="CX161" s="437"/>
      <c r="CY161" s="437"/>
      <c r="CZ161" s="437"/>
      <c r="DA161" s="437"/>
    </row>
    <row r="162" spans="2:105" s="362" customFormat="1" x14ac:dyDescent="0.2">
      <c r="B162" s="12"/>
      <c r="C162" s="12"/>
      <c r="D162" s="13"/>
      <c r="E162" s="12"/>
      <c r="F162" s="12"/>
      <c r="G162" s="13"/>
      <c r="H162" s="12"/>
      <c r="I162" s="437"/>
      <c r="J162" s="437"/>
      <c r="K162" s="437"/>
      <c r="L162" s="437"/>
      <c r="M162" s="437"/>
      <c r="N162" s="437"/>
      <c r="O162" s="437"/>
      <c r="P162" s="437"/>
      <c r="Q162" s="437"/>
      <c r="R162" s="437"/>
      <c r="S162" s="437"/>
      <c r="T162" s="437"/>
      <c r="U162" s="437"/>
      <c r="V162" s="437"/>
      <c r="W162" s="437"/>
      <c r="X162" s="437"/>
      <c r="Y162" s="437"/>
      <c r="Z162" s="437"/>
      <c r="AA162" s="437"/>
      <c r="AB162" s="437"/>
      <c r="AC162" s="437"/>
      <c r="AD162" s="437"/>
      <c r="AE162" s="437"/>
      <c r="AF162" s="437"/>
      <c r="AG162" s="437"/>
      <c r="AH162" s="437"/>
      <c r="AI162" s="437"/>
      <c r="AJ162" s="437"/>
      <c r="AK162" s="437"/>
      <c r="AL162" s="437"/>
      <c r="AM162" s="437"/>
      <c r="AN162" s="437"/>
      <c r="AO162" s="437"/>
      <c r="AP162" s="437"/>
      <c r="AQ162" s="437"/>
      <c r="AR162" s="437"/>
      <c r="AS162" s="437"/>
      <c r="AT162" s="437"/>
      <c r="AU162" s="437"/>
      <c r="AV162" s="437"/>
      <c r="AW162" s="437"/>
      <c r="AX162" s="437"/>
      <c r="AY162" s="437"/>
      <c r="AZ162" s="437"/>
      <c r="BA162" s="437"/>
      <c r="BB162" s="437"/>
      <c r="BC162" s="437"/>
      <c r="BD162" s="437"/>
      <c r="BE162" s="437"/>
      <c r="BF162" s="437"/>
      <c r="BG162" s="437"/>
      <c r="BH162" s="437"/>
      <c r="BI162" s="437"/>
      <c r="BJ162" s="437"/>
      <c r="BK162" s="437"/>
      <c r="BL162" s="437"/>
      <c r="BM162" s="437"/>
      <c r="BN162" s="437"/>
      <c r="BO162" s="437"/>
      <c r="BP162" s="437"/>
      <c r="BQ162" s="437"/>
      <c r="BR162" s="437"/>
      <c r="BS162" s="437"/>
      <c r="BT162" s="437"/>
      <c r="BU162" s="437"/>
      <c r="BV162" s="437"/>
      <c r="BW162" s="437"/>
      <c r="BX162" s="437"/>
      <c r="BY162" s="437"/>
      <c r="BZ162" s="437"/>
      <c r="CA162" s="437"/>
      <c r="CB162" s="437"/>
      <c r="CC162" s="437"/>
      <c r="CD162" s="437"/>
      <c r="CE162" s="437"/>
      <c r="CF162" s="437"/>
      <c r="CG162" s="437"/>
      <c r="CH162" s="437"/>
      <c r="CI162" s="437"/>
      <c r="CJ162" s="437"/>
      <c r="CK162" s="437"/>
      <c r="CL162" s="437"/>
      <c r="CM162" s="437"/>
      <c r="CN162" s="437"/>
      <c r="CO162" s="437"/>
      <c r="CP162" s="437"/>
      <c r="CQ162" s="437"/>
      <c r="CR162" s="437"/>
      <c r="CS162" s="437"/>
      <c r="CT162" s="437"/>
      <c r="CU162" s="437"/>
      <c r="CV162" s="437"/>
      <c r="CW162" s="437"/>
      <c r="CX162" s="437"/>
      <c r="CY162" s="437"/>
      <c r="CZ162" s="437"/>
      <c r="DA162" s="437"/>
    </row>
    <row r="163" spans="2:105" s="362" customFormat="1" x14ac:dyDescent="0.2">
      <c r="B163" s="12"/>
      <c r="C163" s="12"/>
      <c r="D163" s="13"/>
      <c r="E163" s="12"/>
      <c r="F163" s="12"/>
      <c r="G163" s="13"/>
      <c r="H163" s="12"/>
      <c r="I163" s="437"/>
      <c r="J163" s="437"/>
      <c r="K163" s="437"/>
      <c r="L163" s="437"/>
      <c r="M163" s="437"/>
      <c r="N163" s="437"/>
      <c r="O163" s="437"/>
      <c r="P163" s="437"/>
      <c r="Q163" s="437"/>
      <c r="R163" s="437"/>
      <c r="S163" s="437"/>
      <c r="T163" s="437"/>
      <c r="U163" s="437"/>
      <c r="V163" s="437"/>
      <c r="W163" s="437"/>
      <c r="X163" s="437"/>
      <c r="Y163" s="437"/>
      <c r="Z163" s="437"/>
      <c r="AA163" s="437"/>
      <c r="AB163" s="437"/>
      <c r="AC163" s="437"/>
      <c r="AD163" s="437"/>
      <c r="AE163" s="437"/>
      <c r="AF163" s="437"/>
      <c r="AG163" s="437"/>
      <c r="AH163" s="437"/>
      <c r="AI163" s="437"/>
      <c r="AJ163" s="437"/>
      <c r="AK163" s="437"/>
      <c r="AL163" s="437"/>
      <c r="AM163" s="437"/>
      <c r="AN163" s="437"/>
      <c r="AO163" s="437"/>
      <c r="AP163" s="437"/>
      <c r="AQ163" s="437"/>
      <c r="AR163" s="437"/>
      <c r="AS163" s="437"/>
      <c r="AT163" s="437"/>
      <c r="AU163" s="437"/>
      <c r="AV163" s="437"/>
      <c r="AW163" s="437"/>
      <c r="AX163" s="437"/>
      <c r="AY163" s="437"/>
      <c r="AZ163" s="437"/>
      <c r="BA163" s="437"/>
      <c r="BB163" s="437"/>
      <c r="BC163" s="437"/>
      <c r="BD163" s="437"/>
      <c r="BE163" s="437"/>
      <c r="BF163" s="437"/>
      <c r="BG163" s="437"/>
      <c r="BH163" s="437"/>
      <c r="BI163" s="437"/>
      <c r="BJ163" s="437"/>
      <c r="BK163" s="437"/>
      <c r="BL163" s="437"/>
      <c r="BM163" s="437"/>
      <c r="BN163" s="437"/>
      <c r="BO163" s="437"/>
      <c r="BP163" s="437"/>
      <c r="BQ163" s="437"/>
      <c r="BR163" s="437"/>
      <c r="BS163" s="437"/>
      <c r="BT163" s="437"/>
      <c r="BU163" s="437"/>
      <c r="BV163" s="437"/>
      <c r="BW163" s="437"/>
      <c r="BX163" s="437"/>
      <c r="BY163" s="437"/>
      <c r="BZ163" s="437"/>
      <c r="CA163" s="437"/>
      <c r="CB163" s="437"/>
      <c r="CC163" s="437"/>
      <c r="CD163" s="437"/>
      <c r="CE163" s="437"/>
      <c r="CF163" s="437"/>
      <c r="CG163" s="437"/>
      <c r="CH163" s="437"/>
      <c r="CI163" s="437"/>
      <c r="CJ163" s="437"/>
      <c r="CK163" s="437"/>
      <c r="CL163" s="437"/>
      <c r="CM163" s="437"/>
      <c r="CN163" s="437"/>
      <c r="CO163" s="437"/>
      <c r="CP163" s="437"/>
      <c r="CQ163" s="437"/>
      <c r="CR163" s="437"/>
      <c r="CS163" s="437"/>
      <c r="CT163" s="437"/>
      <c r="CU163" s="437"/>
      <c r="CV163" s="437"/>
      <c r="CW163" s="437"/>
      <c r="CX163" s="437"/>
      <c r="CY163" s="437"/>
      <c r="CZ163" s="437"/>
      <c r="DA163" s="437"/>
    </row>
    <row r="164" spans="2:105" s="362" customFormat="1" x14ac:dyDescent="0.2">
      <c r="B164" s="12"/>
      <c r="C164" s="12"/>
      <c r="D164" s="13"/>
      <c r="E164" s="12"/>
      <c r="F164" s="12"/>
      <c r="G164" s="13"/>
      <c r="H164" s="12"/>
      <c r="I164" s="437"/>
      <c r="J164" s="437"/>
      <c r="K164" s="437"/>
      <c r="L164" s="437"/>
      <c r="M164" s="437"/>
      <c r="N164" s="437"/>
      <c r="O164" s="437"/>
      <c r="P164" s="437"/>
      <c r="Q164" s="437"/>
      <c r="R164" s="437"/>
      <c r="S164" s="437"/>
      <c r="T164" s="437"/>
      <c r="U164" s="437"/>
      <c r="V164" s="437"/>
      <c r="W164" s="437"/>
      <c r="X164" s="437"/>
      <c r="Y164" s="437"/>
      <c r="Z164" s="437"/>
      <c r="AA164" s="437"/>
      <c r="AB164" s="437"/>
      <c r="AC164" s="437"/>
      <c r="AD164" s="437"/>
      <c r="AE164" s="437"/>
      <c r="AF164" s="437"/>
      <c r="AG164" s="437"/>
      <c r="AH164" s="437"/>
      <c r="AI164" s="437"/>
      <c r="AJ164" s="437"/>
      <c r="AK164" s="437"/>
      <c r="AL164" s="437"/>
      <c r="AM164" s="437"/>
      <c r="AN164" s="437"/>
      <c r="AO164" s="437"/>
      <c r="AP164" s="437"/>
      <c r="AQ164" s="437"/>
      <c r="AR164" s="437"/>
      <c r="AS164" s="437"/>
      <c r="AT164" s="437"/>
      <c r="AU164" s="437"/>
      <c r="AV164" s="437"/>
      <c r="AW164" s="437"/>
      <c r="AX164" s="437"/>
      <c r="AY164" s="437"/>
      <c r="AZ164" s="437"/>
      <c r="BA164" s="437"/>
      <c r="BB164" s="437"/>
      <c r="BC164" s="437"/>
      <c r="BD164" s="437"/>
      <c r="BE164" s="437"/>
      <c r="BF164" s="437"/>
      <c r="BG164" s="437"/>
      <c r="BH164" s="437"/>
      <c r="BI164" s="437"/>
      <c r="BJ164" s="437"/>
      <c r="BK164" s="437"/>
      <c r="BL164" s="437"/>
      <c r="BM164" s="437"/>
      <c r="BN164" s="437"/>
      <c r="BO164" s="437"/>
      <c r="BP164" s="437"/>
      <c r="BQ164" s="437"/>
      <c r="BR164" s="437"/>
      <c r="BS164" s="437"/>
      <c r="BT164" s="437"/>
      <c r="BU164" s="437"/>
      <c r="BV164" s="437"/>
      <c r="BW164" s="437"/>
      <c r="BX164" s="437"/>
      <c r="BY164" s="437"/>
      <c r="BZ164" s="437"/>
      <c r="CA164" s="437"/>
      <c r="CB164" s="437"/>
      <c r="CC164" s="437"/>
      <c r="CD164" s="437"/>
      <c r="CE164" s="437"/>
      <c r="CF164" s="437"/>
      <c r="CG164" s="437"/>
      <c r="CH164" s="437"/>
      <c r="CI164" s="437"/>
      <c r="CJ164" s="437"/>
      <c r="CK164" s="437"/>
      <c r="CL164" s="437"/>
      <c r="CM164" s="437"/>
      <c r="CN164" s="437"/>
      <c r="CO164" s="437"/>
      <c r="CP164" s="437"/>
      <c r="CQ164" s="437"/>
      <c r="CR164" s="437"/>
      <c r="CS164" s="437"/>
      <c r="CT164" s="437"/>
      <c r="CU164" s="437"/>
      <c r="CV164" s="437"/>
      <c r="CW164" s="437"/>
      <c r="CX164" s="437"/>
      <c r="CY164" s="437"/>
      <c r="CZ164" s="437"/>
      <c r="DA164" s="437"/>
    </row>
    <row r="165" spans="2:105" s="362" customFormat="1" x14ac:dyDescent="0.2">
      <c r="B165" s="12"/>
      <c r="C165" s="12"/>
      <c r="D165" s="13"/>
      <c r="E165" s="12"/>
      <c r="F165" s="12"/>
      <c r="G165" s="13"/>
      <c r="H165" s="12"/>
      <c r="I165" s="437"/>
      <c r="J165" s="437"/>
      <c r="K165" s="437"/>
      <c r="L165" s="437"/>
      <c r="M165" s="437"/>
      <c r="N165" s="437"/>
      <c r="O165" s="437"/>
      <c r="P165" s="437"/>
      <c r="Q165" s="437"/>
      <c r="R165" s="437"/>
      <c r="S165" s="437"/>
      <c r="T165" s="437"/>
      <c r="U165" s="437"/>
      <c r="V165" s="437"/>
      <c r="W165" s="437"/>
      <c r="X165" s="437"/>
      <c r="Y165" s="437"/>
      <c r="Z165" s="437"/>
      <c r="AA165" s="437"/>
      <c r="AB165" s="437"/>
      <c r="AC165" s="437"/>
      <c r="AD165" s="437"/>
      <c r="AE165" s="437"/>
      <c r="AF165" s="437"/>
      <c r="AG165" s="437"/>
      <c r="AH165" s="437"/>
      <c r="AI165" s="437"/>
      <c r="AJ165" s="437"/>
      <c r="AK165" s="437"/>
      <c r="AL165" s="437"/>
      <c r="AM165" s="437"/>
      <c r="AN165" s="437"/>
      <c r="AO165" s="437"/>
      <c r="AP165" s="437"/>
      <c r="AQ165" s="437"/>
      <c r="AR165" s="437"/>
      <c r="AS165" s="437"/>
      <c r="AT165" s="437"/>
      <c r="AU165" s="437"/>
      <c r="AV165" s="437"/>
      <c r="AW165" s="437"/>
      <c r="AX165" s="437"/>
      <c r="AY165" s="437"/>
      <c r="AZ165" s="437"/>
      <c r="BA165" s="437"/>
      <c r="BB165" s="437"/>
      <c r="BC165" s="437"/>
      <c r="BD165" s="437"/>
      <c r="BE165" s="437"/>
      <c r="BF165" s="437"/>
      <c r="BG165" s="437"/>
      <c r="BH165" s="437"/>
      <c r="BI165" s="437"/>
      <c r="BJ165" s="437"/>
      <c r="BK165" s="437"/>
      <c r="BL165" s="437"/>
      <c r="BM165" s="437"/>
      <c r="BN165" s="437"/>
      <c r="BO165" s="437"/>
      <c r="BP165" s="437"/>
      <c r="BQ165" s="437"/>
      <c r="BR165" s="437"/>
      <c r="BS165" s="437"/>
      <c r="BT165" s="437"/>
      <c r="BU165" s="437"/>
      <c r="BV165" s="437"/>
      <c r="BW165" s="437"/>
      <c r="BX165" s="437"/>
      <c r="BY165" s="437"/>
      <c r="BZ165" s="437"/>
      <c r="CA165" s="437"/>
      <c r="CB165" s="437"/>
      <c r="CC165" s="437"/>
      <c r="CD165" s="437"/>
      <c r="CE165" s="437"/>
      <c r="CF165" s="437"/>
      <c r="CG165" s="437"/>
      <c r="CH165" s="437"/>
      <c r="CI165" s="437"/>
      <c r="CJ165" s="437"/>
      <c r="CK165" s="437"/>
      <c r="CL165" s="437"/>
      <c r="CM165" s="437"/>
      <c r="CN165" s="437"/>
      <c r="CO165" s="437"/>
      <c r="CP165" s="437"/>
      <c r="CQ165" s="437"/>
      <c r="CR165" s="437"/>
      <c r="CS165" s="437"/>
      <c r="CT165" s="437"/>
      <c r="CU165" s="437"/>
      <c r="CV165" s="437"/>
      <c r="CW165" s="437"/>
      <c r="CX165" s="437"/>
      <c r="CY165" s="437"/>
      <c r="CZ165" s="437"/>
      <c r="DA165" s="437"/>
    </row>
    <row r="166" spans="2:105" s="362" customFormat="1" x14ac:dyDescent="0.2">
      <c r="B166" s="12"/>
      <c r="C166" s="12"/>
      <c r="D166" s="13"/>
      <c r="E166" s="12"/>
      <c r="F166" s="12"/>
      <c r="G166" s="13"/>
      <c r="H166" s="12"/>
      <c r="I166" s="437"/>
      <c r="J166" s="437"/>
      <c r="K166" s="437"/>
      <c r="L166" s="437"/>
      <c r="M166" s="437"/>
      <c r="N166" s="437"/>
      <c r="O166" s="437"/>
      <c r="P166" s="437"/>
      <c r="Q166" s="437"/>
      <c r="R166" s="437"/>
      <c r="S166" s="437"/>
      <c r="T166" s="437"/>
      <c r="U166" s="437"/>
      <c r="V166" s="437"/>
      <c r="W166" s="437"/>
      <c r="X166" s="437"/>
      <c r="Y166" s="437"/>
      <c r="Z166" s="437"/>
      <c r="AA166" s="437"/>
      <c r="AB166" s="437"/>
      <c r="AC166" s="437"/>
      <c r="AD166" s="437"/>
      <c r="AE166" s="437"/>
      <c r="AF166" s="437"/>
      <c r="AG166" s="437"/>
      <c r="AH166" s="437"/>
      <c r="AI166" s="437"/>
      <c r="AJ166" s="437"/>
      <c r="AK166" s="437"/>
      <c r="AL166" s="437"/>
      <c r="AM166" s="437"/>
      <c r="AN166" s="437"/>
      <c r="AO166" s="437"/>
      <c r="AP166" s="437"/>
      <c r="AQ166" s="437"/>
      <c r="AR166" s="437"/>
      <c r="AS166" s="437"/>
      <c r="AT166" s="437"/>
      <c r="AU166" s="437"/>
      <c r="AV166" s="437"/>
      <c r="AW166" s="437"/>
      <c r="AX166" s="437"/>
      <c r="AY166" s="437"/>
      <c r="AZ166" s="437"/>
      <c r="BA166" s="437"/>
      <c r="BB166" s="437"/>
      <c r="BC166" s="437"/>
      <c r="BD166" s="437"/>
      <c r="BE166" s="437"/>
      <c r="BF166" s="437"/>
      <c r="BG166" s="437"/>
      <c r="BH166" s="437"/>
      <c r="BI166" s="437"/>
      <c r="BJ166" s="437"/>
      <c r="BK166" s="437"/>
      <c r="BL166" s="437"/>
      <c r="BM166" s="437"/>
      <c r="BN166" s="437"/>
      <c r="BO166" s="437"/>
      <c r="BP166" s="437"/>
      <c r="BQ166" s="437"/>
      <c r="BR166" s="437"/>
      <c r="BS166" s="437"/>
      <c r="BT166" s="437"/>
      <c r="BU166" s="437"/>
      <c r="BV166" s="437"/>
      <c r="BW166" s="437"/>
      <c r="BX166" s="437"/>
      <c r="BY166" s="437"/>
      <c r="BZ166" s="437"/>
      <c r="CA166" s="437"/>
      <c r="CB166" s="437"/>
      <c r="CC166" s="437"/>
      <c r="CD166" s="437"/>
      <c r="CE166" s="437"/>
      <c r="CF166" s="437"/>
      <c r="CG166" s="437"/>
      <c r="CH166" s="437"/>
      <c r="CI166" s="437"/>
      <c r="CJ166" s="437"/>
      <c r="CK166" s="437"/>
      <c r="CL166" s="437"/>
      <c r="CM166" s="437"/>
      <c r="CN166" s="437"/>
      <c r="CO166" s="437"/>
      <c r="CP166" s="437"/>
      <c r="CQ166" s="437"/>
      <c r="CR166" s="437"/>
      <c r="CS166" s="437"/>
      <c r="CT166" s="437"/>
      <c r="CU166" s="437"/>
      <c r="CV166" s="437"/>
      <c r="CW166" s="437"/>
      <c r="CX166" s="437"/>
      <c r="CY166" s="437"/>
      <c r="CZ166" s="437"/>
      <c r="DA166" s="437"/>
    </row>
    <row r="167" spans="2:105" s="362" customFormat="1" x14ac:dyDescent="0.2">
      <c r="B167" s="12"/>
      <c r="C167" s="12"/>
      <c r="D167" s="13"/>
      <c r="E167" s="12"/>
      <c r="F167" s="12"/>
      <c r="G167" s="13"/>
      <c r="H167" s="12"/>
      <c r="I167" s="437"/>
      <c r="J167" s="437"/>
      <c r="K167" s="437"/>
      <c r="L167" s="437"/>
      <c r="M167" s="437"/>
      <c r="N167" s="437"/>
      <c r="O167" s="437"/>
      <c r="P167" s="437"/>
      <c r="Q167" s="437"/>
      <c r="R167" s="437"/>
      <c r="S167" s="437"/>
      <c r="T167" s="437"/>
      <c r="U167" s="437"/>
      <c r="V167" s="437"/>
      <c r="W167" s="437"/>
      <c r="X167" s="437"/>
      <c r="Y167" s="437"/>
      <c r="Z167" s="437"/>
      <c r="AA167" s="437"/>
      <c r="AB167" s="437"/>
      <c r="AC167" s="437"/>
      <c r="AD167" s="437"/>
      <c r="AE167" s="437"/>
      <c r="AF167" s="437"/>
      <c r="AG167" s="437"/>
      <c r="AH167" s="437"/>
      <c r="AI167" s="437"/>
      <c r="AJ167" s="437"/>
      <c r="AK167" s="437"/>
      <c r="AL167" s="437"/>
      <c r="AM167" s="437"/>
      <c r="AN167" s="437"/>
      <c r="AO167" s="437"/>
      <c r="AP167" s="437"/>
      <c r="AQ167" s="437"/>
      <c r="AR167" s="437"/>
      <c r="AS167" s="437"/>
      <c r="AT167" s="437"/>
      <c r="AU167" s="437"/>
      <c r="AV167" s="437"/>
      <c r="AW167" s="437"/>
      <c r="AX167" s="437"/>
      <c r="AY167" s="437"/>
      <c r="AZ167" s="437"/>
      <c r="BA167" s="437"/>
      <c r="BB167" s="437"/>
      <c r="BC167" s="437"/>
      <c r="BD167" s="437"/>
      <c r="BE167" s="437"/>
      <c r="BF167" s="437"/>
      <c r="BG167" s="437"/>
      <c r="BH167" s="437"/>
      <c r="BI167" s="437"/>
      <c r="BJ167" s="437"/>
      <c r="BK167" s="437"/>
      <c r="BL167" s="437"/>
      <c r="BM167" s="437"/>
      <c r="BN167" s="437"/>
      <c r="BO167" s="437"/>
      <c r="BP167" s="437"/>
      <c r="BQ167" s="437"/>
      <c r="BR167" s="437"/>
      <c r="BS167" s="437"/>
      <c r="BT167" s="437"/>
      <c r="BU167" s="437"/>
      <c r="BV167" s="437"/>
      <c r="BW167" s="437"/>
      <c r="BX167" s="437"/>
      <c r="BY167" s="437"/>
      <c r="BZ167" s="437"/>
      <c r="CA167" s="437"/>
      <c r="CB167" s="437"/>
      <c r="CC167" s="437"/>
      <c r="CD167" s="437"/>
      <c r="CE167" s="437"/>
      <c r="CF167" s="437"/>
      <c r="CG167" s="437"/>
      <c r="CH167" s="437"/>
      <c r="CI167" s="437"/>
      <c r="CJ167" s="437"/>
      <c r="CK167" s="437"/>
      <c r="CL167" s="437"/>
      <c r="CM167" s="437"/>
      <c r="CN167" s="437"/>
      <c r="CO167" s="437"/>
      <c r="CP167" s="437"/>
      <c r="CQ167" s="437"/>
      <c r="CR167" s="437"/>
      <c r="CS167" s="437"/>
      <c r="CT167" s="437"/>
      <c r="CU167" s="437"/>
      <c r="CV167" s="437"/>
      <c r="CW167" s="437"/>
      <c r="CX167" s="437"/>
      <c r="CY167" s="437"/>
      <c r="CZ167" s="437"/>
      <c r="DA167" s="437"/>
    </row>
    <row r="168" spans="2:105" s="362" customFormat="1" x14ac:dyDescent="0.2">
      <c r="B168" s="12"/>
      <c r="C168" s="12"/>
      <c r="D168" s="13"/>
      <c r="E168" s="12"/>
      <c r="F168" s="12"/>
      <c r="G168" s="13"/>
      <c r="H168" s="12"/>
      <c r="I168" s="437"/>
      <c r="J168" s="437"/>
      <c r="K168" s="437"/>
      <c r="L168" s="437"/>
      <c r="M168" s="437"/>
      <c r="N168" s="437"/>
      <c r="O168" s="437"/>
      <c r="P168" s="437"/>
      <c r="Q168" s="437"/>
      <c r="R168" s="437"/>
      <c r="S168" s="437"/>
      <c r="T168" s="437"/>
      <c r="U168" s="437"/>
      <c r="V168" s="437"/>
      <c r="W168" s="437"/>
      <c r="X168" s="437"/>
      <c r="Y168" s="437"/>
      <c r="Z168" s="437"/>
      <c r="AA168" s="437"/>
      <c r="AB168" s="437"/>
      <c r="AC168" s="437"/>
      <c r="AD168" s="437"/>
      <c r="AE168" s="437"/>
      <c r="AF168" s="437"/>
      <c r="AG168" s="437"/>
      <c r="AH168" s="437"/>
      <c r="AI168" s="437"/>
      <c r="AJ168" s="437"/>
      <c r="AK168" s="437"/>
      <c r="AL168" s="437"/>
      <c r="AM168" s="437"/>
      <c r="AN168" s="437"/>
      <c r="AO168" s="437"/>
      <c r="AP168" s="437"/>
      <c r="AQ168" s="437"/>
      <c r="AR168" s="437"/>
      <c r="AS168" s="437"/>
      <c r="AT168" s="437"/>
      <c r="AU168" s="437"/>
      <c r="AV168" s="437"/>
      <c r="AW168" s="437"/>
      <c r="AX168" s="437"/>
      <c r="AY168" s="437"/>
      <c r="AZ168" s="437"/>
      <c r="BA168" s="437"/>
      <c r="BB168" s="437"/>
      <c r="BC168" s="437"/>
      <c r="BD168" s="437"/>
      <c r="BE168" s="437"/>
      <c r="BF168" s="437"/>
      <c r="BG168" s="437"/>
      <c r="BH168" s="437"/>
      <c r="BI168" s="437"/>
      <c r="BJ168" s="437"/>
      <c r="BK168" s="437"/>
      <c r="BL168" s="437"/>
      <c r="BM168" s="437"/>
      <c r="BN168" s="437"/>
      <c r="BO168" s="437"/>
      <c r="BP168" s="437"/>
      <c r="BQ168" s="437"/>
      <c r="BR168" s="437"/>
      <c r="BS168" s="437"/>
      <c r="BT168" s="437"/>
      <c r="BU168" s="437"/>
      <c r="BV168" s="437"/>
      <c r="BW168" s="437"/>
      <c r="BX168" s="437"/>
      <c r="BY168" s="437"/>
      <c r="BZ168" s="437"/>
      <c r="CA168" s="437"/>
      <c r="CB168" s="437"/>
      <c r="CC168" s="437"/>
      <c r="CD168" s="437"/>
      <c r="CE168" s="437"/>
      <c r="CF168" s="437"/>
      <c r="CG168" s="437"/>
      <c r="CH168" s="437"/>
      <c r="CI168" s="437"/>
      <c r="CJ168" s="437"/>
      <c r="CK168" s="437"/>
      <c r="CL168" s="437"/>
      <c r="CM168" s="437"/>
      <c r="CN168" s="437"/>
      <c r="CO168" s="437"/>
      <c r="CP168" s="437"/>
      <c r="CQ168" s="437"/>
      <c r="CR168" s="437"/>
      <c r="CS168" s="437"/>
      <c r="CT168" s="437"/>
      <c r="CU168" s="437"/>
      <c r="CV168" s="437"/>
      <c r="CW168" s="437"/>
      <c r="CX168" s="437"/>
      <c r="CY168" s="437"/>
      <c r="CZ168" s="437"/>
      <c r="DA168" s="437"/>
    </row>
    <row r="169" spans="2:105" s="362" customFormat="1" x14ac:dyDescent="0.2">
      <c r="B169" s="12"/>
      <c r="C169" s="12"/>
      <c r="D169" s="13"/>
      <c r="E169" s="12"/>
      <c r="F169" s="12"/>
      <c r="G169" s="13"/>
      <c r="H169" s="12"/>
      <c r="I169" s="437"/>
      <c r="J169" s="437"/>
      <c r="K169" s="437"/>
      <c r="L169" s="437"/>
      <c r="M169" s="437"/>
      <c r="N169" s="437"/>
      <c r="O169" s="437"/>
      <c r="P169" s="437"/>
      <c r="Q169" s="437"/>
      <c r="R169" s="437"/>
      <c r="S169" s="437"/>
      <c r="T169" s="437"/>
      <c r="U169" s="437"/>
      <c r="V169" s="437"/>
      <c r="W169" s="437"/>
      <c r="X169" s="437"/>
      <c r="Y169" s="437"/>
      <c r="Z169" s="437"/>
      <c r="AA169" s="437"/>
      <c r="AB169" s="437"/>
      <c r="AC169" s="437"/>
      <c r="AD169" s="437"/>
      <c r="AE169" s="437"/>
      <c r="AF169" s="437"/>
      <c r="AG169" s="437"/>
      <c r="AH169" s="437"/>
      <c r="AI169" s="437"/>
      <c r="AJ169" s="437"/>
      <c r="AK169" s="437"/>
      <c r="AL169" s="437"/>
      <c r="AM169" s="437"/>
      <c r="AN169" s="437"/>
      <c r="AO169" s="437"/>
      <c r="AP169" s="437"/>
      <c r="AQ169" s="437"/>
      <c r="AR169" s="437"/>
      <c r="AS169" s="437"/>
      <c r="AT169" s="437"/>
      <c r="AU169" s="437"/>
      <c r="AV169" s="437"/>
      <c r="AW169" s="437"/>
      <c r="AX169" s="437"/>
      <c r="AY169" s="437"/>
      <c r="AZ169" s="437"/>
      <c r="BA169" s="437"/>
      <c r="BB169" s="437"/>
      <c r="BC169" s="437"/>
      <c r="BD169" s="437"/>
      <c r="BE169" s="437"/>
      <c r="BF169" s="437"/>
      <c r="BG169" s="437"/>
      <c r="BH169" s="437"/>
      <c r="BI169" s="437"/>
      <c r="BJ169" s="437"/>
      <c r="BK169" s="437"/>
      <c r="BL169" s="437"/>
      <c r="BM169" s="437"/>
      <c r="BN169" s="437"/>
      <c r="BO169" s="437"/>
      <c r="BP169" s="437"/>
      <c r="BQ169" s="437"/>
      <c r="BR169" s="437"/>
      <c r="BS169" s="437"/>
      <c r="BT169" s="437"/>
      <c r="BU169" s="437"/>
      <c r="BV169" s="437"/>
      <c r="BW169" s="437"/>
      <c r="BX169" s="437"/>
      <c r="BY169" s="437"/>
      <c r="BZ169" s="437"/>
      <c r="CA169" s="437"/>
      <c r="CB169" s="437"/>
      <c r="CC169" s="437"/>
      <c r="CD169" s="437"/>
      <c r="CE169" s="437"/>
      <c r="CF169" s="437"/>
      <c r="CG169" s="437"/>
      <c r="CH169" s="437"/>
      <c r="CI169" s="437"/>
      <c r="CJ169" s="437"/>
      <c r="CK169" s="437"/>
      <c r="CL169" s="437"/>
      <c r="CM169" s="437"/>
      <c r="CN169" s="437"/>
      <c r="CO169" s="437"/>
      <c r="CP169" s="437"/>
      <c r="CQ169" s="437"/>
      <c r="CR169" s="437"/>
      <c r="CS169" s="437"/>
      <c r="CT169" s="437"/>
      <c r="CU169" s="437"/>
      <c r="CV169" s="437"/>
      <c r="CW169" s="437"/>
      <c r="CX169" s="437"/>
      <c r="CY169" s="437"/>
      <c r="CZ169" s="437"/>
      <c r="DA169" s="437"/>
    </row>
    <row r="170" spans="2:105" s="362" customFormat="1" x14ac:dyDescent="0.2">
      <c r="B170" s="12"/>
      <c r="C170" s="12"/>
      <c r="D170" s="13"/>
      <c r="E170" s="12"/>
      <c r="F170" s="12"/>
      <c r="G170" s="13"/>
      <c r="H170" s="12"/>
      <c r="I170" s="437"/>
      <c r="J170" s="437"/>
      <c r="K170" s="437"/>
      <c r="L170" s="437"/>
      <c r="M170" s="437"/>
      <c r="N170" s="437"/>
      <c r="O170" s="437"/>
      <c r="P170" s="437"/>
      <c r="Q170" s="437"/>
      <c r="R170" s="437"/>
      <c r="S170" s="437"/>
      <c r="T170" s="437"/>
      <c r="U170" s="437"/>
      <c r="V170" s="437"/>
      <c r="W170" s="437"/>
      <c r="X170" s="437"/>
      <c r="Y170" s="437"/>
      <c r="Z170" s="437"/>
      <c r="AA170" s="437"/>
      <c r="AB170" s="437"/>
      <c r="AC170" s="437"/>
      <c r="AD170" s="437"/>
      <c r="AE170" s="437"/>
      <c r="AF170" s="437"/>
      <c r="AG170" s="437"/>
      <c r="AH170" s="437"/>
      <c r="AI170" s="437"/>
      <c r="AJ170" s="437"/>
      <c r="AK170" s="437"/>
      <c r="AL170" s="437"/>
      <c r="AM170" s="437"/>
      <c r="AN170" s="437"/>
      <c r="AO170" s="437"/>
      <c r="AP170" s="437"/>
      <c r="AQ170" s="437"/>
      <c r="AR170" s="437"/>
      <c r="AS170" s="437"/>
      <c r="AT170" s="437"/>
      <c r="AU170" s="437"/>
      <c r="AV170" s="437"/>
      <c r="AW170" s="437"/>
      <c r="AX170" s="437"/>
      <c r="AY170" s="437"/>
      <c r="AZ170" s="437"/>
      <c r="BA170" s="437"/>
      <c r="BB170" s="437"/>
      <c r="BC170" s="437"/>
      <c r="BD170" s="437"/>
      <c r="BE170" s="437"/>
      <c r="BF170" s="437"/>
      <c r="BG170" s="437"/>
      <c r="BH170" s="437"/>
      <c r="BI170" s="437"/>
      <c r="BJ170" s="437"/>
      <c r="BK170" s="437"/>
      <c r="BL170" s="437"/>
      <c r="BM170" s="437"/>
      <c r="BN170" s="437"/>
      <c r="BO170" s="437"/>
      <c r="BP170" s="437"/>
      <c r="BQ170" s="437"/>
      <c r="BR170" s="437"/>
      <c r="BS170" s="437"/>
      <c r="BT170" s="437"/>
      <c r="BU170" s="437"/>
      <c r="BV170" s="437"/>
      <c r="BW170" s="437"/>
      <c r="BX170" s="437"/>
      <c r="BY170" s="437"/>
      <c r="BZ170" s="437"/>
      <c r="CA170" s="437"/>
      <c r="CB170" s="437"/>
      <c r="CC170" s="437"/>
      <c r="CD170" s="437"/>
      <c r="CE170" s="437"/>
      <c r="CF170" s="437"/>
      <c r="CG170" s="437"/>
      <c r="CH170" s="437"/>
      <c r="CI170" s="437"/>
      <c r="CJ170" s="437"/>
      <c r="CK170" s="437"/>
      <c r="CL170" s="437"/>
      <c r="CM170" s="437"/>
      <c r="CN170" s="437"/>
      <c r="CO170" s="437"/>
      <c r="CP170" s="437"/>
      <c r="CQ170" s="437"/>
      <c r="CR170" s="437"/>
      <c r="CS170" s="437"/>
      <c r="CT170" s="437"/>
      <c r="CU170" s="437"/>
      <c r="CV170" s="437"/>
      <c r="CW170" s="437"/>
      <c r="CX170" s="437"/>
      <c r="CY170" s="437"/>
      <c r="CZ170" s="437"/>
      <c r="DA170" s="437"/>
    </row>
    <row r="171" spans="2:105" s="362" customFormat="1" x14ac:dyDescent="0.2">
      <c r="B171" s="12"/>
      <c r="C171" s="12"/>
      <c r="D171" s="13"/>
      <c r="E171" s="12"/>
      <c r="F171" s="12"/>
      <c r="G171" s="13"/>
      <c r="H171" s="12"/>
      <c r="I171" s="437"/>
      <c r="J171" s="437"/>
      <c r="K171" s="437"/>
      <c r="L171" s="437"/>
      <c r="M171" s="437"/>
      <c r="N171" s="437"/>
      <c r="O171" s="437"/>
      <c r="P171" s="437"/>
      <c r="Q171" s="437"/>
      <c r="R171" s="437"/>
      <c r="S171" s="437"/>
      <c r="T171" s="437"/>
      <c r="U171" s="437"/>
      <c r="V171" s="437"/>
      <c r="W171" s="437"/>
      <c r="X171" s="437"/>
      <c r="Y171" s="437"/>
      <c r="Z171" s="437"/>
      <c r="AA171" s="437"/>
      <c r="AB171" s="437"/>
      <c r="AC171" s="437"/>
      <c r="AD171" s="437"/>
      <c r="AE171" s="437"/>
      <c r="AF171" s="437"/>
      <c r="AG171" s="437"/>
      <c r="AH171" s="437"/>
      <c r="AI171" s="437"/>
      <c r="AJ171" s="437"/>
      <c r="AK171" s="437"/>
      <c r="AL171" s="437"/>
      <c r="AM171" s="437"/>
      <c r="AN171" s="437"/>
      <c r="AO171" s="437"/>
      <c r="AP171" s="437"/>
      <c r="AQ171" s="437"/>
      <c r="AR171" s="437"/>
      <c r="AS171" s="437"/>
      <c r="AT171" s="437"/>
      <c r="AU171" s="437"/>
      <c r="AV171" s="437"/>
      <c r="AW171" s="437"/>
      <c r="AX171" s="437"/>
      <c r="AY171" s="437"/>
      <c r="AZ171" s="437"/>
      <c r="BA171" s="437"/>
      <c r="BB171" s="437"/>
      <c r="BC171" s="437"/>
      <c r="BD171" s="437"/>
      <c r="BE171" s="437"/>
      <c r="BF171" s="437"/>
      <c r="BG171" s="437"/>
      <c r="BH171" s="437"/>
      <c r="BI171" s="437"/>
      <c r="BJ171" s="437"/>
      <c r="BK171" s="437"/>
      <c r="BL171" s="437"/>
      <c r="BM171" s="437"/>
      <c r="BN171" s="437"/>
      <c r="BO171" s="437"/>
      <c r="BP171" s="437"/>
      <c r="BQ171" s="437"/>
      <c r="BR171" s="437"/>
      <c r="BS171" s="437"/>
      <c r="BT171" s="437"/>
      <c r="BU171" s="437"/>
      <c r="BV171" s="437"/>
      <c r="BW171" s="437"/>
      <c r="BX171" s="437"/>
      <c r="BY171" s="437"/>
      <c r="BZ171" s="437"/>
      <c r="CA171" s="437"/>
      <c r="CB171" s="437"/>
      <c r="CC171" s="437"/>
      <c r="CD171" s="437"/>
      <c r="CE171" s="437"/>
      <c r="CF171" s="437"/>
      <c r="CG171" s="437"/>
      <c r="CH171" s="437"/>
      <c r="CI171" s="437"/>
      <c r="CJ171" s="437"/>
      <c r="CK171" s="437"/>
      <c r="CL171" s="437"/>
      <c r="CM171" s="437"/>
      <c r="CN171" s="437"/>
      <c r="CO171" s="437"/>
      <c r="CP171" s="437"/>
      <c r="CQ171" s="437"/>
      <c r="CR171" s="437"/>
      <c r="CS171" s="437"/>
      <c r="CT171" s="437"/>
      <c r="CU171" s="437"/>
      <c r="CV171" s="437"/>
      <c r="CW171" s="437"/>
      <c r="CX171" s="437"/>
      <c r="CY171" s="437"/>
      <c r="CZ171" s="437"/>
      <c r="DA171" s="437"/>
    </row>
    <row r="172" spans="2:105" s="362" customFormat="1" x14ac:dyDescent="0.2">
      <c r="B172" s="12"/>
      <c r="C172" s="12"/>
      <c r="D172" s="13"/>
      <c r="E172" s="12"/>
      <c r="F172" s="12"/>
      <c r="G172" s="13"/>
      <c r="H172" s="12"/>
      <c r="I172" s="437"/>
      <c r="J172" s="437"/>
      <c r="K172" s="437"/>
      <c r="L172" s="437"/>
      <c r="M172" s="437"/>
      <c r="N172" s="437"/>
      <c r="O172" s="437"/>
      <c r="P172" s="437"/>
      <c r="Q172" s="437"/>
      <c r="R172" s="437"/>
      <c r="S172" s="437"/>
      <c r="T172" s="437"/>
      <c r="U172" s="437"/>
      <c r="V172" s="437"/>
      <c r="W172" s="437"/>
      <c r="X172" s="437"/>
      <c r="Y172" s="437"/>
      <c r="Z172" s="437"/>
      <c r="AA172" s="437"/>
      <c r="AB172" s="437"/>
      <c r="AC172" s="437"/>
      <c r="AD172" s="437"/>
      <c r="AE172" s="437"/>
      <c r="AF172" s="437"/>
      <c r="AG172" s="437"/>
      <c r="AH172" s="437"/>
      <c r="AI172" s="437"/>
      <c r="AJ172" s="437"/>
      <c r="AK172" s="437"/>
      <c r="AL172" s="437"/>
      <c r="AM172" s="437"/>
      <c r="AN172" s="437"/>
      <c r="AO172" s="437"/>
      <c r="AP172" s="437"/>
      <c r="AQ172" s="437"/>
      <c r="AR172" s="437"/>
      <c r="AS172" s="437"/>
      <c r="AT172" s="437"/>
      <c r="AU172" s="437"/>
      <c r="AV172" s="437"/>
      <c r="AW172" s="437"/>
      <c r="AX172" s="437"/>
      <c r="AY172" s="437"/>
      <c r="AZ172" s="437"/>
      <c r="BA172" s="437"/>
      <c r="BB172" s="437"/>
      <c r="BC172" s="437"/>
      <c r="BD172" s="437"/>
      <c r="BE172" s="437"/>
      <c r="BF172" s="437"/>
      <c r="BG172" s="437"/>
      <c r="BH172" s="437"/>
      <c r="BI172" s="437"/>
      <c r="BJ172" s="437"/>
      <c r="BK172" s="437"/>
      <c r="BL172" s="437"/>
      <c r="BM172" s="437"/>
      <c r="BN172" s="437"/>
      <c r="BO172" s="437"/>
      <c r="BP172" s="437"/>
      <c r="BQ172" s="437"/>
      <c r="BR172" s="437"/>
      <c r="BS172" s="437"/>
      <c r="BT172" s="437"/>
      <c r="BU172" s="437"/>
      <c r="BV172" s="437"/>
      <c r="BW172" s="437"/>
      <c r="BX172" s="437"/>
      <c r="BY172" s="437"/>
      <c r="BZ172" s="437"/>
      <c r="CA172" s="437"/>
      <c r="CB172" s="437"/>
      <c r="CC172" s="437"/>
      <c r="CD172" s="437"/>
      <c r="CE172" s="437"/>
      <c r="CF172" s="437"/>
      <c r="CG172" s="437"/>
      <c r="CH172" s="437"/>
      <c r="CI172" s="437"/>
      <c r="CJ172" s="437"/>
      <c r="CK172" s="437"/>
      <c r="CL172" s="437"/>
      <c r="CM172" s="437"/>
      <c r="CN172" s="437"/>
      <c r="CO172" s="437"/>
      <c r="CP172" s="437"/>
      <c r="CQ172" s="437"/>
      <c r="CR172" s="437"/>
      <c r="CS172" s="437"/>
      <c r="CT172" s="437"/>
      <c r="CU172" s="437"/>
      <c r="CV172" s="437"/>
      <c r="CW172" s="437"/>
      <c r="CX172" s="437"/>
      <c r="CY172" s="437"/>
      <c r="CZ172" s="437"/>
      <c r="DA172" s="437"/>
    </row>
    <row r="173" spans="2:105" s="362" customFormat="1" x14ac:dyDescent="0.2">
      <c r="B173" s="12"/>
      <c r="C173" s="12"/>
      <c r="D173" s="13"/>
      <c r="E173" s="12"/>
      <c r="F173" s="12"/>
      <c r="G173" s="13"/>
      <c r="H173" s="12"/>
      <c r="I173" s="437"/>
      <c r="J173" s="437"/>
      <c r="K173" s="437"/>
      <c r="L173" s="437"/>
      <c r="M173" s="437"/>
      <c r="N173" s="437"/>
      <c r="O173" s="437"/>
      <c r="P173" s="437"/>
      <c r="Q173" s="437"/>
      <c r="R173" s="437"/>
      <c r="S173" s="437"/>
      <c r="T173" s="437"/>
      <c r="U173" s="437"/>
      <c r="V173" s="437"/>
      <c r="W173" s="437"/>
      <c r="X173" s="437"/>
      <c r="Y173" s="437"/>
      <c r="Z173" s="437"/>
      <c r="AA173" s="437"/>
      <c r="AB173" s="437"/>
      <c r="AC173" s="437"/>
      <c r="AD173" s="437"/>
      <c r="AE173" s="437"/>
      <c r="AF173" s="437"/>
      <c r="AG173" s="437"/>
      <c r="AH173" s="437"/>
      <c r="AI173" s="437"/>
      <c r="AJ173" s="437"/>
      <c r="AK173" s="437"/>
      <c r="AL173" s="437"/>
      <c r="AM173" s="437"/>
      <c r="AN173" s="437"/>
      <c r="AO173" s="437"/>
      <c r="AP173" s="437"/>
      <c r="AQ173" s="437"/>
      <c r="AR173" s="437"/>
      <c r="AS173" s="437"/>
      <c r="AT173" s="437"/>
      <c r="AU173" s="437"/>
      <c r="AV173" s="437"/>
      <c r="AW173" s="437"/>
      <c r="AX173" s="437"/>
      <c r="AY173" s="437"/>
      <c r="AZ173" s="437"/>
      <c r="BA173" s="437"/>
      <c r="BB173" s="437"/>
      <c r="BC173" s="437"/>
      <c r="BD173" s="437"/>
      <c r="BE173" s="437"/>
      <c r="BF173" s="437"/>
      <c r="BG173" s="437"/>
      <c r="BH173" s="437"/>
      <c r="BI173" s="437"/>
      <c r="BJ173" s="437"/>
      <c r="BK173" s="437"/>
      <c r="BL173" s="437"/>
      <c r="BM173" s="437"/>
      <c r="BN173" s="437"/>
      <c r="BO173" s="437"/>
      <c r="BP173" s="437"/>
      <c r="BQ173" s="437"/>
      <c r="BR173" s="437"/>
      <c r="BS173" s="437"/>
      <c r="BT173" s="437"/>
      <c r="BU173" s="437"/>
      <c r="BV173" s="437"/>
      <c r="BW173" s="437"/>
      <c r="BX173" s="437"/>
      <c r="BY173" s="437"/>
      <c r="BZ173" s="437"/>
      <c r="CA173" s="437"/>
      <c r="CB173" s="437"/>
      <c r="CC173" s="437"/>
      <c r="CD173" s="437"/>
      <c r="CE173" s="437"/>
      <c r="CF173" s="437"/>
      <c r="CG173" s="437"/>
      <c r="CH173" s="437"/>
      <c r="CI173" s="437"/>
      <c r="CJ173" s="437"/>
      <c r="CK173" s="437"/>
      <c r="CL173" s="437"/>
      <c r="CM173" s="437"/>
      <c r="CN173" s="437"/>
      <c r="CO173" s="437"/>
      <c r="CP173" s="437"/>
      <c r="CQ173" s="437"/>
      <c r="CR173" s="437"/>
      <c r="CS173" s="437"/>
      <c r="CT173" s="437"/>
      <c r="CU173" s="437"/>
      <c r="CV173" s="437"/>
      <c r="CW173" s="437"/>
      <c r="CX173" s="437"/>
      <c r="CY173" s="437"/>
      <c r="CZ173" s="437"/>
      <c r="DA173" s="437"/>
    </row>
    <row r="174" spans="2:105" s="362" customFormat="1" x14ac:dyDescent="0.2">
      <c r="B174" s="12"/>
      <c r="C174" s="12"/>
      <c r="D174" s="13"/>
      <c r="E174" s="12"/>
      <c r="F174" s="12"/>
      <c r="G174" s="13"/>
      <c r="H174" s="12"/>
      <c r="I174" s="437"/>
      <c r="J174" s="437"/>
      <c r="K174" s="437"/>
      <c r="L174" s="437"/>
      <c r="M174" s="437"/>
      <c r="N174" s="437"/>
      <c r="O174" s="437"/>
      <c r="P174" s="437"/>
      <c r="Q174" s="437"/>
      <c r="R174" s="437"/>
      <c r="S174" s="437"/>
      <c r="T174" s="437"/>
      <c r="U174" s="437"/>
      <c r="V174" s="437"/>
      <c r="W174" s="437"/>
      <c r="X174" s="437"/>
      <c r="Y174" s="437"/>
      <c r="Z174" s="437"/>
      <c r="AA174" s="437"/>
      <c r="AB174" s="437"/>
      <c r="AC174" s="437"/>
      <c r="AD174" s="437"/>
      <c r="AE174" s="437"/>
      <c r="AF174" s="437"/>
      <c r="AG174" s="437"/>
      <c r="AH174" s="437"/>
      <c r="AI174" s="437"/>
      <c r="AJ174" s="437"/>
      <c r="AK174" s="437"/>
      <c r="AL174" s="437"/>
      <c r="AM174" s="437"/>
      <c r="AN174" s="437"/>
      <c r="AO174" s="437"/>
      <c r="AP174" s="437"/>
      <c r="AQ174" s="437"/>
      <c r="AR174" s="437"/>
      <c r="AS174" s="437"/>
      <c r="AT174" s="437"/>
      <c r="AU174" s="437"/>
      <c r="AV174" s="437"/>
      <c r="AW174" s="437"/>
      <c r="AX174" s="437"/>
      <c r="AY174" s="437"/>
      <c r="AZ174" s="437"/>
      <c r="BA174" s="437"/>
      <c r="BB174" s="437"/>
      <c r="BC174" s="437"/>
      <c r="BD174" s="437"/>
      <c r="BE174" s="437"/>
      <c r="BF174" s="437"/>
      <c r="BG174" s="437"/>
      <c r="BH174" s="437"/>
      <c r="BI174" s="437"/>
      <c r="BJ174" s="437"/>
      <c r="BK174" s="437"/>
      <c r="BL174" s="437"/>
      <c r="BM174" s="437"/>
      <c r="BN174" s="437"/>
      <c r="BO174" s="437"/>
      <c r="BP174" s="437"/>
      <c r="BQ174" s="437"/>
      <c r="BR174" s="437"/>
      <c r="BS174" s="437"/>
      <c r="BT174" s="437"/>
      <c r="BU174" s="437"/>
      <c r="BV174" s="437"/>
      <c r="BW174" s="437"/>
      <c r="BX174" s="437"/>
      <c r="BY174" s="437"/>
      <c r="BZ174" s="437"/>
      <c r="CA174" s="437"/>
      <c r="CB174" s="437"/>
      <c r="CC174" s="437"/>
      <c r="CD174" s="437"/>
      <c r="CE174" s="437"/>
      <c r="CF174" s="437"/>
      <c r="CG174" s="437"/>
      <c r="CH174" s="437"/>
      <c r="CI174" s="437"/>
      <c r="CJ174" s="437"/>
      <c r="CK174" s="437"/>
      <c r="CL174" s="437"/>
      <c r="CM174" s="437"/>
      <c r="CN174" s="437"/>
      <c r="CO174" s="437"/>
      <c r="CP174" s="437"/>
      <c r="CQ174" s="437"/>
      <c r="CR174" s="437"/>
      <c r="CS174" s="437"/>
      <c r="CT174" s="437"/>
      <c r="CU174" s="437"/>
      <c r="CV174" s="437"/>
      <c r="CW174" s="437"/>
      <c r="CX174" s="437"/>
      <c r="CY174" s="437"/>
      <c r="CZ174" s="437"/>
      <c r="DA174" s="437"/>
    </row>
    <row r="175" spans="2:105" s="362" customFormat="1" x14ac:dyDescent="0.2">
      <c r="B175" s="12"/>
      <c r="C175" s="12"/>
      <c r="D175" s="13"/>
      <c r="E175" s="12"/>
      <c r="F175" s="12"/>
      <c r="G175" s="13"/>
      <c r="H175" s="12"/>
      <c r="I175" s="437"/>
      <c r="J175" s="437"/>
      <c r="K175" s="437"/>
      <c r="L175" s="437"/>
      <c r="M175" s="437"/>
      <c r="N175" s="437"/>
      <c r="O175" s="437"/>
      <c r="P175" s="437"/>
      <c r="Q175" s="437"/>
      <c r="R175" s="437"/>
      <c r="S175" s="437"/>
      <c r="T175" s="437"/>
      <c r="U175" s="437"/>
      <c r="V175" s="437"/>
      <c r="W175" s="437"/>
      <c r="X175" s="437"/>
      <c r="Y175" s="437"/>
      <c r="Z175" s="437"/>
      <c r="AA175" s="437"/>
      <c r="AB175" s="437"/>
      <c r="AC175" s="437"/>
      <c r="AD175" s="437"/>
      <c r="AE175" s="437"/>
      <c r="AF175" s="437"/>
      <c r="AG175" s="437"/>
      <c r="AH175" s="437"/>
      <c r="AI175" s="437"/>
      <c r="AJ175" s="437"/>
      <c r="AK175" s="437"/>
      <c r="AL175" s="437"/>
      <c r="AM175" s="437"/>
      <c r="AN175" s="437"/>
      <c r="AO175" s="437"/>
      <c r="AP175" s="437"/>
      <c r="AQ175" s="437"/>
      <c r="AR175" s="437"/>
      <c r="AS175" s="437"/>
      <c r="AT175" s="437"/>
      <c r="AU175" s="437"/>
      <c r="AV175" s="437"/>
      <c r="AW175" s="437"/>
      <c r="AX175" s="437"/>
      <c r="AY175" s="437"/>
      <c r="AZ175" s="437"/>
      <c r="BA175" s="437"/>
      <c r="BB175" s="437"/>
      <c r="BC175" s="437"/>
      <c r="BD175" s="437"/>
      <c r="BE175" s="437"/>
      <c r="BF175" s="437"/>
      <c r="BG175" s="437"/>
      <c r="BH175" s="437"/>
      <c r="BI175" s="437"/>
      <c r="BJ175" s="437"/>
      <c r="BK175" s="437"/>
      <c r="BL175" s="437"/>
      <c r="BM175" s="437"/>
      <c r="BN175" s="437"/>
      <c r="BO175" s="437"/>
      <c r="BP175" s="437"/>
      <c r="BQ175" s="437"/>
      <c r="BR175" s="437"/>
      <c r="BS175" s="437"/>
      <c r="BT175" s="437"/>
      <c r="BU175" s="437"/>
      <c r="BV175" s="437"/>
      <c r="BW175" s="437"/>
      <c r="BX175" s="437"/>
      <c r="BY175" s="437"/>
      <c r="BZ175" s="437"/>
      <c r="CA175" s="437"/>
      <c r="CB175" s="437"/>
      <c r="CC175" s="437"/>
      <c r="CD175" s="437"/>
      <c r="CE175" s="437"/>
      <c r="CF175" s="437"/>
      <c r="CG175" s="437"/>
      <c r="CH175" s="437"/>
      <c r="CI175" s="437"/>
      <c r="CJ175" s="437"/>
      <c r="CK175" s="437"/>
      <c r="CL175" s="437"/>
      <c r="CM175" s="437"/>
      <c r="CN175" s="437"/>
      <c r="CO175" s="437"/>
      <c r="CP175" s="437"/>
      <c r="CQ175" s="437"/>
      <c r="CR175" s="437"/>
      <c r="CS175" s="437"/>
      <c r="CT175" s="437"/>
      <c r="CU175" s="437"/>
      <c r="CV175" s="437"/>
      <c r="CW175" s="437"/>
      <c r="CX175" s="437"/>
      <c r="CY175" s="437"/>
      <c r="CZ175" s="437"/>
      <c r="DA175" s="437"/>
    </row>
    <row r="176" spans="2:105" s="362" customFormat="1" x14ac:dyDescent="0.2">
      <c r="B176" s="12"/>
      <c r="C176" s="12"/>
      <c r="D176" s="13"/>
      <c r="E176" s="12"/>
      <c r="F176" s="12"/>
      <c r="G176" s="13"/>
      <c r="H176" s="12"/>
      <c r="I176" s="437"/>
      <c r="J176" s="437"/>
      <c r="K176" s="437"/>
      <c r="L176" s="437"/>
      <c r="M176" s="437"/>
      <c r="N176" s="437"/>
      <c r="O176" s="437"/>
      <c r="P176" s="437"/>
      <c r="Q176" s="437"/>
      <c r="R176" s="437"/>
      <c r="S176" s="437"/>
      <c r="T176" s="437"/>
      <c r="U176" s="437"/>
      <c r="V176" s="437"/>
      <c r="W176" s="437"/>
      <c r="X176" s="437"/>
      <c r="Y176" s="437"/>
      <c r="Z176" s="437"/>
      <c r="AA176" s="437"/>
      <c r="AB176" s="437"/>
      <c r="AC176" s="437"/>
      <c r="AD176" s="437"/>
      <c r="AE176" s="437"/>
      <c r="AF176" s="437"/>
      <c r="AG176" s="437"/>
      <c r="AH176" s="437"/>
      <c r="AI176" s="437"/>
      <c r="AJ176" s="437"/>
      <c r="AK176" s="437"/>
      <c r="AL176" s="437"/>
      <c r="AM176" s="437"/>
      <c r="AN176" s="437"/>
      <c r="AO176" s="437"/>
      <c r="AP176" s="437"/>
      <c r="AQ176" s="437"/>
      <c r="AR176" s="437"/>
      <c r="AS176" s="437"/>
      <c r="AT176" s="437"/>
      <c r="AU176" s="437"/>
      <c r="AV176" s="437"/>
      <c r="AW176" s="437"/>
      <c r="AX176" s="437"/>
      <c r="AY176" s="437"/>
      <c r="AZ176" s="437"/>
      <c r="BA176" s="437"/>
      <c r="BB176" s="437"/>
      <c r="BC176" s="437"/>
      <c r="BD176" s="437"/>
      <c r="BE176" s="437"/>
      <c r="BF176" s="437"/>
      <c r="BG176" s="437"/>
      <c r="BH176" s="437"/>
      <c r="BI176" s="437"/>
      <c r="BJ176" s="437"/>
      <c r="BK176" s="437"/>
      <c r="BL176" s="437"/>
      <c r="BM176" s="437"/>
      <c r="BN176" s="437"/>
      <c r="BO176" s="437"/>
      <c r="BP176" s="437"/>
      <c r="BQ176" s="437"/>
      <c r="BR176" s="437"/>
      <c r="BS176" s="437"/>
      <c r="BT176" s="437"/>
      <c r="BU176" s="437"/>
      <c r="BV176" s="437"/>
      <c r="BW176" s="437"/>
      <c r="BX176" s="437"/>
      <c r="BY176" s="437"/>
      <c r="BZ176" s="437"/>
      <c r="CA176" s="437"/>
      <c r="CB176" s="437"/>
      <c r="CC176" s="437"/>
      <c r="CD176" s="437"/>
      <c r="CE176" s="437"/>
      <c r="CF176" s="437"/>
      <c r="CG176" s="437"/>
      <c r="CH176" s="437"/>
      <c r="CI176" s="437"/>
      <c r="CJ176" s="437"/>
      <c r="CK176" s="437"/>
      <c r="CL176" s="437"/>
      <c r="CM176" s="437"/>
      <c r="CN176" s="437"/>
      <c r="CO176" s="437"/>
      <c r="CP176" s="437"/>
      <c r="CQ176" s="437"/>
      <c r="CR176" s="437"/>
      <c r="CS176" s="437"/>
      <c r="CT176" s="437"/>
      <c r="CU176" s="437"/>
      <c r="CV176" s="437"/>
      <c r="CW176" s="437"/>
      <c r="CX176" s="437"/>
      <c r="CY176" s="437"/>
      <c r="CZ176" s="437"/>
      <c r="DA176" s="437"/>
    </row>
    <row r="177" spans="2:105" s="362" customFormat="1" x14ac:dyDescent="0.2">
      <c r="B177" s="12"/>
      <c r="C177" s="12"/>
      <c r="D177" s="13"/>
      <c r="E177" s="12"/>
      <c r="F177" s="12"/>
      <c r="G177" s="13"/>
      <c r="H177" s="12"/>
      <c r="I177" s="437"/>
      <c r="J177" s="437"/>
      <c r="K177" s="437"/>
      <c r="L177" s="437"/>
      <c r="M177" s="437"/>
      <c r="N177" s="437"/>
      <c r="O177" s="437"/>
      <c r="P177" s="437"/>
      <c r="Q177" s="437"/>
      <c r="R177" s="437"/>
      <c r="S177" s="437"/>
      <c r="T177" s="437"/>
      <c r="U177" s="437"/>
      <c r="V177" s="437"/>
      <c r="W177" s="437"/>
      <c r="X177" s="437"/>
      <c r="Y177" s="437"/>
      <c r="Z177" s="437"/>
      <c r="AA177" s="437"/>
      <c r="AB177" s="437"/>
      <c r="AC177" s="437"/>
      <c r="AD177" s="437"/>
      <c r="AE177" s="437"/>
      <c r="AF177" s="437"/>
      <c r="AG177" s="437"/>
      <c r="AH177" s="437"/>
      <c r="AI177" s="437"/>
      <c r="AJ177" s="437"/>
      <c r="AK177" s="437"/>
      <c r="AL177" s="437"/>
      <c r="AM177" s="437"/>
      <c r="AN177" s="437"/>
      <c r="AO177" s="437"/>
      <c r="AP177" s="437"/>
      <c r="AQ177" s="437"/>
      <c r="AR177" s="437"/>
      <c r="AS177" s="437"/>
      <c r="AT177" s="437"/>
      <c r="AU177" s="437"/>
      <c r="AV177" s="437"/>
      <c r="AW177" s="437"/>
      <c r="AX177" s="437"/>
      <c r="AY177" s="437"/>
      <c r="AZ177" s="437"/>
      <c r="BA177" s="437"/>
      <c r="BB177" s="437"/>
      <c r="BC177" s="437"/>
      <c r="BD177" s="437"/>
      <c r="BE177" s="437"/>
      <c r="BF177" s="437"/>
      <c r="BG177" s="437"/>
      <c r="BH177" s="437"/>
      <c r="BI177" s="437"/>
      <c r="BJ177" s="437"/>
      <c r="BK177" s="437"/>
      <c r="BL177" s="437"/>
      <c r="BM177" s="437"/>
      <c r="BN177" s="437"/>
      <c r="BO177" s="437"/>
      <c r="BP177" s="437"/>
      <c r="BQ177" s="437"/>
      <c r="BR177" s="437"/>
      <c r="BS177" s="437"/>
      <c r="BT177" s="437"/>
      <c r="BU177" s="437"/>
      <c r="BV177" s="437"/>
      <c r="BW177" s="437"/>
      <c r="BX177" s="437"/>
      <c r="BY177" s="437"/>
      <c r="BZ177" s="437"/>
      <c r="CA177" s="437"/>
      <c r="CB177" s="437"/>
      <c r="CC177" s="437"/>
      <c r="CD177" s="437"/>
      <c r="CE177" s="437"/>
      <c r="CF177" s="437"/>
      <c r="CG177" s="437"/>
      <c r="CH177" s="437"/>
      <c r="CI177" s="437"/>
      <c r="CJ177" s="437"/>
      <c r="CK177" s="437"/>
      <c r="CL177" s="437"/>
      <c r="CM177" s="437"/>
      <c r="CN177" s="437"/>
      <c r="CO177" s="437"/>
      <c r="CP177" s="437"/>
      <c r="CQ177" s="437"/>
      <c r="CR177" s="437"/>
      <c r="CS177" s="437"/>
      <c r="CT177" s="437"/>
      <c r="CU177" s="437"/>
      <c r="CV177" s="437"/>
      <c r="CW177" s="437"/>
      <c r="CX177" s="437"/>
      <c r="CY177" s="437"/>
      <c r="CZ177" s="437"/>
      <c r="DA177" s="437"/>
    </row>
    <row r="178" spans="2:105" s="362" customFormat="1" x14ac:dyDescent="0.2">
      <c r="B178" s="12"/>
      <c r="C178" s="12"/>
      <c r="D178" s="13"/>
      <c r="E178" s="12"/>
      <c r="F178" s="12"/>
      <c r="G178" s="13"/>
      <c r="H178" s="12"/>
      <c r="I178" s="437"/>
      <c r="J178" s="437"/>
      <c r="K178" s="437"/>
      <c r="L178" s="437"/>
      <c r="M178" s="437"/>
      <c r="N178" s="437"/>
      <c r="O178" s="437"/>
      <c r="P178" s="437"/>
      <c r="Q178" s="437"/>
      <c r="R178" s="437"/>
      <c r="S178" s="437"/>
      <c r="T178" s="437"/>
      <c r="U178" s="437"/>
      <c r="V178" s="437"/>
      <c r="W178" s="437"/>
      <c r="X178" s="437"/>
      <c r="Y178" s="437"/>
      <c r="Z178" s="437"/>
      <c r="AA178" s="437"/>
      <c r="AB178" s="437"/>
      <c r="AC178" s="437"/>
      <c r="AD178" s="437"/>
      <c r="AE178" s="437"/>
      <c r="AF178" s="437"/>
      <c r="AG178" s="437"/>
      <c r="AH178" s="437"/>
      <c r="AI178" s="437"/>
      <c r="AJ178" s="437"/>
      <c r="AK178" s="437"/>
      <c r="AL178" s="437"/>
      <c r="AM178" s="437"/>
      <c r="AN178" s="437"/>
      <c r="AO178" s="437"/>
      <c r="AP178" s="437"/>
      <c r="AQ178" s="437"/>
      <c r="AR178" s="437"/>
      <c r="AS178" s="437"/>
      <c r="AT178" s="437"/>
      <c r="AU178" s="437"/>
      <c r="AV178" s="437"/>
      <c r="AW178" s="437"/>
      <c r="AX178" s="437"/>
      <c r="AY178" s="437"/>
      <c r="AZ178" s="437"/>
      <c r="BA178" s="437"/>
      <c r="BB178" s="437"/>
      <c r="BC178" s="437"/>
      <c r="BD178" s="437"/>
      <c r="BE178" s="437"/>
      <c r="BF178" s="437"/>
      <c r="BG178" s="437"/>
      <c r="BH178" s="437"/>
      <c r="BI178" s="437"/>
      <c r="BJ178" s="437"/>
      <c r="BK178" s="437"/>
      <c r="BL178" s="437"/>
      <c r="BM178" s="437"/>
      <c r="BN178" s="437"/>
      <c r="BO178" s="437"/>
      <c r="BP178" s="437"/>
      <c r="BQ178" s="437"/>
      <c r="BR178" s="437"/>
      <c r="BS178" s="437"/>
      <c r="BT178" s="437"/>
      <c r="BU178" s="437"/>
      <c r="BV178" s="437"/>
      <c r="BW178" s="437"/>
      <c r="BX178" s="437"/>
      <c r="BY178" s="437"/>
      <c r="BZ178" s="437"/>
      <c r="CA178" s="437"/>
      <c r="CB178" s="437"/>
      <c r="CC178" s="437"/>
      <c r="CD178" s="437"/>
      <c r="CE178" s="437"/>
      <c r="CF178" s="437"/>
      <c r="CG178" s="437"/>
      <c r="CH178" s="437"/>
      <c r="CI178" s="437"/>
      <c r="CJ178" s="437"/>
      <c r="CK178" s="437"/>
      <c r="CL178" s="437"/>
      <c r="CM178" s="437"/>
      <c r="CN178" s="437"/>
      <c r="CO178" s="437"/>
      <c r="CP178" s="437"/>
      <c r="CQ178" s="437"/>
      <c r="CR178" s="437"/>
      <c r="CS178" s="437"/>
      <c r="CT178" s="437"/>
      <c r="CU178" s="437"/>
      <c r="CV178" s="437"/>
      <c r="CW178" s="437"/>
      <c r="CX178" s="437"/>
      <c r="CY178" s="437"/>
      <c r="CZ178" s="437"/>
      <c r="DA178" s="437"/>
    </row>
    <row r="179" spans="2:105" s="362" customFormat="1" x14ac:dyDescent="0.2">
      <c r="B179" s="12"/>
      <c r="C179" s="12"/>
      <c r="D179" s="13"/>
      <c r="E179" s="12"/>
      <c r="F179" s="12"/>
      <c r="G179" s="13"/>
      <c r="H179" s="12"/>
      <c r="I179" s="437"/>
      <c r="J179" s="437"/>
      <c r="K179" s="437"/>
      <c r="L179" s="437"/>
      <c r="M179" s="437"/>
      <c r="N179" s="437"/>
      <c r="O179" s="437"/>
      <c r="P179" s="437"/>
      <c r="Q179" s="437"/>
      <c r="R179" s="437"/>
      <c r="S179" s="437"/>
      <c r="T179" s="437"/>
      <c r="U179" s="437"/>
      <c r="V179" s="437"/>
      <c r="W179" s="437"/>
      <c r="X179" s="437"/>
      <c r="Y179" s="437"/>
      <c r="Z179" s="437"/>
      <c r="AA179" s="437"/>
      <c r="AB179" s="437"/>
      <c r="AC179" s="437"/>
      <c r="AD179" s="437"/>
      <c r="AE179" s="437"/>
      <c r="AF179" s="437"/>
      <c r="AG179" s="437"/>
      <c r="AH179" s="437"/>
      <c r="AI179" s="437"/>
      <c r="AJ179" s="437"/>
      <c r="AK179" s="437"/>
      <c r="AL179" s="437"/>
      <c r="AM179" s="437"/>
      <c r="AN179" s="437"/>
      <c r="AO179" s="437"/>
      <c r="AP179" s="437"/>
      <c r="AQ179" s="437"/>
      <c r="AR179" s="437"/>
      <c r="AS179" s="437"/>
      <c r="AT179" s="437"/>
      <c r="AU179" s="437"/>
      <c r="AV179" s="437"/>
      <c r="AW179" s="437"/>
      <c r="AX179" s="437"/>
      <c r="AY179" s="437"/>
      <c r="AZ179" s="437"/>
      <c r="BA179" s="437"/>
      <c r="BB179" s="437"/>
      <c r="BC179" s="437"/>
      <c r="BD179" s="437"/>
      <c r="BE179" s="437"/>
      <c r="BF179" s="437"/>
      <c r="BG179" s="437"/>
      <c r="BH179" s="437"/>
      <c r="BI179" s="437"/>
      <c r="BJ179" s="437"/>
      <c r="BK179" s="437"/>
      <c r="BL179" s="437"/>
      <c r="BM179" s="437"/>
      <c r="BN179" s="437"/>
      <c r="BO179" s="437"/>
      <c r="BP179" s="437"/>
      <c r="BQ179" s="437"/>
      <c r="BR179" s="437"/>
      <c r="BS179" s="437"/>
      <c r="BT179" s="437"/>
      <c r="BU179" s="437"/>
      <c r="BV179" s="437"/>
      <c r="BW179" s="437"/>
      <c r="BX179" s="437"/>
      <c r="BY179" s="437"/>
      <c r="BZ179" s="437"/>
      <c r="CA179" s="437"/>
      <c r="CB179" s="437"/>
      <c r="CC179" s="437"/>
      <c r="CD179" s="437"/>
      <c r="CE179" s="437"/>
      <c r="CF179" s="437"/>
      <c r="CG179" s="437"/>
      <c r="CH179" s="437"/>
      <c r="CI179" s="437"/>
      <c r="CJ179" s="437"/>
      <c r="CK179" s="437"/>
      <c r="CL179" s="437"/>
      <c r="CM179" s="437"/>
      <c r="CN179" s="437"/>
      <c r="CO179" s="437"/>
      <c r="CP179" s="437"/>
      <c r="CQ179" s="437"/>
      <c r="CR179" s="437"/>
      <c r="CS179" s="437"/>
      <c r="CT179" s="437"/>
      <c r="CU179" s="437"/>
      <c r="CV179" s="437"/>
      <c r="CW179" s="437"/>
      <c r="CX179" s="437"/>
      <c r="CY179" s="437"/>
      <c r="CZ179" s="437"/>
      <c r="DA179" s="437"/>
    </row>
    <row r="180" spans="2:105" s="362" customFormat="1" x14ac:dyDescent="0.2">
      <c r="B180" s="12"/>
      <c r="C180" s="12"/>
      <c r="D180" s="13"/>
      <c r="E180" s="12"/>
      <c r="F180" s="12"/>
      <c r="G180" s="13"/>
      <c r="H180" s="12"/>
      <c r="I180" s="437"/>
      <c r="J180" s="437"/>
      <c r="K180" s="437"/>
      <c r="L180" s="437"/>
      <c r="M180" s="437"/>
      <c r="N180" s="437"/>
      <c r="O180" s="437"/>
      <c r="P180" s="437"/>
      <c r="Q180" s="437"/>
      <c r="R180" s="437"/>
      <c r="S180" s="437"/>
      <c r="T180" s="437"/>
      <c r="U180" s="437"/>
      <c r="V180" s="437"/>
      <c r="W180" s="437"/>
      <c r="X180" s="437"/>
      <c r="Y180" s="437"/>
      <c r="Z180" s="437"/>
      <c r="AA180" s="437"/>
      <c r="AB180" s="437"/>
      <c r="AC180" s="437"/>
      <c r="AD180" s="437"/>
      <c r="AE180" s="437"/>
      <c r="AF180" s="437"/>
      <c r="AG180" s="437"/>
      <c r="AH180" s="437"/>
      <c r="AI180" s="437"/>
      <c r="AJ180" s="437"/>
      <c r="AK180" s="437"/>
      <c r="AL180" s="437"/>
      <c r="AM180" s="437"/>
      <c r="AN180" s="437"/>
      <c r="AO180" s="437"/>
      <c r="AP180" s="437"/>
      <c r="AQ180" s="437"/>
      <c r="AR180" s="437"/>
      <c r="AS180" s="437"/>
      <c r="AT180" s="437"/>
      <c r="AU180" s="437"/>
      <c r="AV180" s="437"/>
      <c r="AW180" s="437"/>
      <c r="AX180" s="437"/>
      <c r="AY180" s="437"/>
      <c r="AZ180" s="437"/>
      <c r="BA180" s="437"/>
      <c r="BB180" s="437"/>
      <c r="BC180" s="437"/>
      <c r="BD180" s="437"/>
      <c r="BE180" s="437"/>
      <c r="BF180" s="437"/>
      <c r="BG180" s="437"/>
      <c r="BH180" s="437"/>
      <c r="BI180" s="437"/>
      <c r="BJ180" s="437"/>
      <c r="BK180" s="437"/>
      <c r="BL180" s="437"/>
      <c r="BM180" s="437"/>
      <c r="BN180" s="437"/>
      <c r="BO180" s="437"/>
      <c r="BP180" s="437"/>
      <c r="BQ180" s="437"/>
      <c r="BR180" s="437"/>
      <c r="BS180" s="437"/>
      <c r="BT180" s="437"/>
      <c r="BU180" s="437"/>
      <c r="BV180" s="437"/>
      <c r="BW180" s="437"/>
      <c r="BX180" s="437"/>
      <c r="BY180" s="437"/>
      <c r="BZ180" s="437"/>
      <c r="CA180" s="437"/>
      <c r="CB180" s="437"/>
      <c r="CC180" s="437"/>
      <c r="CD180" s="437"/>
      <c r="CE180" s="437"/>
      <c r="CF180" s="437"/>
      <c r="CG180" s="437"/>
      <c r="CH180" s="437"/>
      <c r="CI180" s="437"/>
      <c r="CJ180" s="437"/>
      <c r="CK180" s="437"/>
      <c r="CL180" s="437"/>
      <c r="CM180" s="437"/>
      <c r="CN180" s="437"/>
      <c r="CO180" s="437"/>
      <c r="CP180" s="437"/>
      <c r="CQ180" s="437"/>
      <c r="CR180" s="437"/>
      <c r="CS180" s="437"/>
      <c r="CT180" s="437"/>
      <c r="CU180" s="437"/>
      <c r="CV180" s="437"/>
      <c r="CW180" s="437"/>
      <c r="CX180" s="437"/>
      <c r="CY180" s="437"/>
      <c r="CZ180" s="437"/>
      <c r="DA180" s="437"/>
    </row>
    <row r="181" spans="2:105" s="362" customFormat="1" x14ac:dyDescent="0.2">
      <c r="B181" s="12"/>
      <c r="C181" s="12"/>
      <c r="D181" s="13"/>
      <c r="E181" s="12"/>
      <c r="F181" s="12"/>
      <c r="G181" s="13"/>
      <c r="H181" s="12"/>
      <c r="I181" s="437"/>
      <c r="J181" s="437"/>
      <c r="K181" s="437"/>
      <c r="L181" s="437"/>
      <c r="M181" s="437"/>
      <c r="N181" s="437"/>
      <c r="O181" s="437"/>
      <c r="P181" s="437"/>
      <c r="Q181" s="437"/>
      <c r="R181" s="437"/>
      <c r="S181" s="437"/>
      <c r="T181" s="437"/>
      <c r="U181" s="437"/>
      <c r="V181" s="437"/>
      <c r="W181" s="437"/>
      <c r="X181" s="437"/>
      <c r="Y181" s="437"/>
      <c r="Z181" s="437"/>
      <c r="AA181" s="437"/>
      <c r="AB181" s="437"/>
      <c r="AC181" s="437"/>
      <c r="AD181" s="437"/>
      <c r="AE181" s="437"/>
      <c r="AF181" s="437"/>
      <c r="AG181" s="437"/>
      <c r="AH181" s="437"/>
      <c r="AI181" s="437"/>
      <c r="AJ181" s="437"/>
      <c r="AK181" s="437"/>
      <c r="AL181" s="437"/>
      <c r="AM181" s="437"/>
      <c r="AN181" s="437"/>
      <c r="AO181" s="437"/>
      <c r="AP181" s="437"/>
      <c r="AQ181" s="437"/>
      <c r="AR181" s="437"/>
      <c r="AS181" s="437"/>
      <c r="AT181" s="437"/>
      <c r="AU181" s="437"/>
      <c r="AV181" s="437"/>
      <c r="AW181" s="437"/>
      <c r="AX181" s="437"/>
      <c r="AY181" s="437"/>
      <c r="AZ181" s="437"/>
      <c r="BA181" s="437"/>
      <c r="BB181" s="437"/>
      <c r="BC181" s="437"/>
      <c r="BD181" s="437"/>
      <c r="BE181" s="437"/>
      <c r="BF181" s="437"/>
      <c r="BG181" s="437"/>
      <c r="BH181" s="437"/>
      <c r="BI181" s="437"/>
      <c r="BJ181" s="437"/>
      <c r="BK181" s="437"/>
      <c r="BL181" s="437"/>
      <c r="BM181" s="437"/>
      <c r="BN181" s="437"/>
      <c r="BO181" s="437"/>
      <c r="BP181" s="437"/>
      <c r="BQ181" s="437"/>
      <c r="BR181" s="437"/>
      <c r="BS181" s="437"/>
      <c r="BT181" s="437"/>
      <c r="BU181" s="437"/>
      <c r="BV181" s="437"/>
      <c r="BW181" s="437"/>
      <c r="BX181" s="437"/>
      <c r="BY181" s="437"/>
      <c r="BZ181" s="437"/>
      <c r="CA181" s="437"/>
      <c r="CB181" s="437"/>
      <c r="CC181" s="437"/>
      <c r="CD181" s="437"/>
      <c r="CE181" s="437"/>
      <c r="CF181" s="437"/>
      <c r="CG181" s="437"/>
      <c r="CH181" s="437"/>
      <c r="CI181" s="437"/>
      <c r="CJ181" s="437"/>
      <c r="CK181" s="437"/>
      <c r="CL181" s="437"/>
      <c r="CM181" s="437"/>
      <c r="CN181" s="437"/>
      <c r="CO181" s="437"/>
      <c r="CP181" s="437"/>
      <c r="CQ181" s="437"/>
      <c r="CR181" s="437"/>
      <c r="CS181" s="437"/>
      <c r="CT181" s="437"/>
      <c r="CU181" s="437"/>
      <c r="CV181" s="437"/>
      <c r="CW181" s="437"/>
      <c r="CX181" s="437"/>
      <c r="CY181" s="437"/>
      <c r="CZ181" s="437"/>
      <c r="DA181" s="437"/>
    </row>
    <row r="182" spans="2:105" s="362" customFormat="1" x14ac:dyDescent="0.2">
      <c r="B182" s="12"/>
      <c r="C182" s="12"/>
      <c r="D182" s="13"/>
      <c r="E182" s="12"/>
      <c r="F182" s="12"/>
      <c r="G182" s="13"/>
      <c r="H182" s="12"/>
      <c r="I182" s="437"/>
      <c r="J182" s="437"/>
      <c r="K182" s="437"/>
      <c r="L182" s="437"/>
      <c r="M182" s="437"/>
      <c r="N182" s="437"/>
      <c r="O182" s="437"/>
      <c r="P182" s="437"/>
      <c r="Q182" s="437"/>
      <c r="R182" s="437"/>
      <c r="S182" s="437"/>
      <c r="T182" s="437"/>
      <c r="U182" s="437"/>
      <c r="V182" s="437"/>
      <c r="W182" s="437"/>
      <c r="X182" s="437"/>
      <c r="Y182" s="437"/>
      <c r="Z182" s="437"/>
      <c r="AA182" s="437"/>
      <c r="AB182" s="437"/>
      <c r="AC182" s="437"/>
      <c r="AD182" s="437"/>
      <c r="AE182" s="437"/>
      <c r="AF182" s="437"/>
      <c r="AG182" s="437"/>
      <c r="AH182" s="437"/>
      <c r="AI182" s="437"/>
      <c r="AJ182" s="437"/>
      <c r="AK182" s="437"/>
      <c r="AL182" s="437"/>
      <c r="AM182" s="437"/>
      <c r="AN182" s="437"/>
      <c r="AO182" s="437"/>
      <c r="AP182" s="437"/>
      <c r="AQ182" s="437"/>
      <c r="AR182" s="437"/>
      <c r="AS182" s="437"/>
      <c r="AT182" s="437"/>
      <c r="AU182" s="437"/>
      <c r="AV182" s="437"/>
      <c r="AW182" s="437"/>
      <c r="AX182" s="437"/>
      <c r="AY182" s="437"/>
      <c r="AZ182" s="437"/>
      <c r="BA182" s="437"/>
      <c r="BB182" s="437"/>
      <c r="BC182" s="437"/>
      <c r="BD182" s="437"/>
      <c r="BE182" s="437"/>
      <c r="BF182" s="437"/>
      <c r="BG182" s="437"/>
      <c r="BH182" s="437"/>
      <c r="BI182" s="437"/>
      <c r="BJ182" s="437"/>
      <c r="BK182" s="437"/>
      <c r="BL182" s="437"/>
      <c r="BM182" s="437"/>
      <c r="BN182" s="437"/>
      <c r="BO182" s="437"/>
      <c r="BP182" s="437"/>
      <c r="BQ182" s="437"/>
      <c r="BR182" s="437"/>
      <c r="BS182" s="437"/>
      <c r="BT182" s="437"/>
      <c r="BU182" s="437"/>
      <c r="BV182" s="437"/>
      <c r="BW182" s="437"/>
      <c r="BX182" s="437"/>
      <c r="BY182" s="437"/>
      <c r="BZ182" s="437"/>
      <c r="CA182" s="437"/>
      <c r="CB182" s="437"/>
      <c r="CC182" s="437"/>
      <c r="CD182" s="437"/>
      <c r="CE182" s="437"/>
      <c r="CF182" s="437"/>
      <c r="CG182" s="437"/>
      <c r="CH182" s="437"/>
      <c r="CI182" s="437"/>
      <c r="CJ182" s="437"/>
      <c r="CK182" s="437"/>
      <c r="CL182" s="437"/>
      <c r="CM182" s="437"/>
      <c r="CN182" s="437"/>
      <c r="CO182" s="437"/>
      <c r="CP182" s="437"/>
      <c r="CQ182" s="437"/>
      <c r="CR182" s="437"/>
      <c r="CS182" s="437"/>
      <c r="CT182" s="437"/>
      <c r="CU182" s="437"/>
      <c r="CV182" s="437"/>
      <c r="CW182" s="437"/>
      <c r="CX182" s="437"/>
      <c r="CY182" s="437"/>
      <c r="CZ182" s="437"/>
      <c r="DA182" s="437"/>
    </row>
    <row r="183" spans="2:105" s="362" customFormat="1" x14ac:dyDescent="0.2">
      <c r="B183" s="12"/>
      <c r="C183" s="12"/>
      <c r="D183" s="13"/>
      <c r="E183" s="12"/>
      <c r="F183" s="12"/>
      <c r="G183" s="13"/>
      <c r="H183" s="12"/>
      <c r="I183" s="437"/>
      <c r="J183" s="437"/>
      <c r="K183" s="437"/>
      <c r="L183" s="437"/>
      <c r="M183" s="437"/>
      <c r="N183" s="437"/>
      <c r="O183" s="437"/>
      <c r="P183" s="437"/>
      <c r="Q183" s="437"/>
      <c r="R183" s="437"/>
      <c r="S183" s="437"/>
      <c r="T183" s="437"/>
      <c r="U183" s="437"/>
      <c r="V183" s="437"/>
      <c r="W183" s="437"/>
      <c r="X183" s="437"/>
      <c r="Y183" s="437"/>
      <c r="Z183" s="437"/>
      <c r="AA183" s="437"/>
      <c r="AB183" s="437"/>
      <c r="AC183" s="437"/>
      <c r="AD183" s="437"/>
      <c r="AE183" s="437"/>
      <c r="AF183" s="437"/>
      <c r="AG183" s="437"/>
      <c r="AH183" s="437"/>
      <c r="AI183" s="437"/>
      <c r="AJ183" s="437"/>
      <c r="AK183" s="437"/>
      <c r="AL183" s="437"/>
      <c r="AM183" s="437"/>
      <c r="AN183" s="437"/>
      <c r="AO183" s="437"/>
      <c r="AP183" s="437"/>
      <c r="AQ183" s="437"/>
      <c r="AR183" s="437"/>
      <c r="AS183" s="437"/>
      <c r="AT183" s="437"/>
      <c r="AU183" s="437"/>
      <c r="AV183" s="437"/>
      <c r="AW183" s="437"/>
      <c r="AX183" s="437"/>
      <c r="AY183" s="437"/>
      <c r="AZ183" s="437"/>
      <c r="BA183" s="437"/>
      <c r="BB183" s="437"/>
      <c r="BC183" s="437"/>
      <c r="BD183" s="437"/>
      <c r="BE183" s="437"/>
      <c r="BF183" s="437"/>
      <c r="BG183" s="437"/>
      <c r="BH183" s="437"/>
      <c r="BI183" s="437"/>
      <c r="BJ183" s="437"/>
      <c r="BK183" s="437"/>
      <c r="BL183" s="437"/>
      <c r="BM183" s="437"/>
      <c r="BN183" s="437"/>
      <c r="BO183" s="437"/>
      <c r="BP183" s="437"/>
      <c r="BQ183" s="437"/>
      <c r="BR183" s="437"/>
      <c r="BS183" s="437"/>
      <c r="BT183" s="437"/>
      <c r="BU183" s="437"/>
      <c r="BV183" s="437"/>
      <c r="BW183" s="437"/>
      <c r="BX183" s="437"/>
      <c r="BY183" s="437"/>
      <c r="BZ183" s="437"/>
      <c r="CA183" s="437"/>
      <c r="CB183" s="437"/>
      <c r="CC183" s="437"/>
      <c r="CD183" s="437"/>
      <c r="CE183" s="437"/>
      <c r="CF183" s="437"/>
      <c r="CG183" s="437"/>
      <c r="CH183" s="437"/>
      <c r="CI183" s="437"/>
      <c r="CJ183" s="437"/>
      <c r="CK183" s="437"/>
      <c r="CL183" s="437"/>
      <c r="CM183" s="437"/>
      <c r="CN183" s="437"/>
      <c r="CO183" s="437"/>
      <c r="CP183" s="437"/>
      <c r="CQ183" s="437"/>
      <c r="CR183" s="437"/>
      <c r="CS183" s="437"/>
      <c r="CT183" s="437"/>
      <c r="CU183" s="437"/>
      <c r="CV183" s="437"/>
      <c r="CW183" s="437"/>
      <c r="CX183" s="437"/>
      <c r="CY183" s="437"/>
      <c r="CZ183" s="437"/>
      <c r="DA183" s="437"/>
    </row>
    <row r="184" spans="2:105" s="362" customFormat="1" x14ac:dyDescent="0.2">
      <c r="B184" s="12"/>
      <c r="C184" s="12"/>
      <c r="D184" s="13"/>
      <c r="E184" s="12"/>
      <c r="F184" s="12"/>
      <c r="G184" s="13"/>
      <c r="H184" s="12"/>
      <c r="I184" s="437"/>
      <c r="J184" s="437"/>
      <c r="K184" s="437"/>
      <c r="L184" s="437"/>
      <c r="M184" s="437"/>
      <c r="N184" s="437"/>
      <c r="O184" s="437"/>
      <c r="P184" s="437"/>
      <c r="Q184" s="437"/>
      <c r="R184" s="437"/>
      <c r="S184" s="437"/>
      <c r="T184" s="437"/>
      <c r="U184" s="437"/>
      <c r="V184" s="437"/>
      <c r="W184" s="437"/>
      <c r="X184" s="437"/>
      <c r="Y184" s="437"/>
      <c r="Z184" s="437"/>
      <c r="AA184" s="437"/>
      <c r="AB184" s="437"/>
      <c r="AC184" s="437"/>
      <c r="AD184" s="437"/>
      <c r="AE184" s="437"/>
      <c r="AF184" s="437"/>
      <c r="AG184" s="437"/>
      <c r="AH184" s="437"/>
      <c r="AI184" s="437"/>
      <c r="AJ184" s="437"/>
      <c r="AK184" s="437"/>
      <c r="AL184" s="437"/>
      <c r="AM184" s="437"/>
      <c r="AN184" s="437"/>
      <c r="AO184" s="437"/>
      <c r="AP184" s="437"/>
      <c r="AQ184" s="437"/>
      <c r="AR184" s="437"/>
      <c r="AS184" s="437"/>
      <c r="AT184" s="437"/>
      <c r="AU184" s="437"/>
      <c r="AV184" s="437"/>
      <c r="AW184" s="437"/>
      <c r="AX184" s="437"/>
      <c r="AY184" s="437"/>
      <c r="AZ184" s="437"/>
      <c r="BA184" s="437"/>
      <c r="BB184" s="437"/>
      <c r="BC184" s="437"/>
      <c r="BD184" s="437"/>
      <c r="BE184" s="437"/>
      <c r="BF184" s="437"/>
      <c r="BG184" s="437"/>
      <c r="BH184" s="437"/>
      <c r="BI184" s="437"/>
      <c r="BJ184" s="437"/>
      <c r="BK184" s="437"/>
      <c r="BL184" s="437"/>
      <c r="BM184" s="437"/>
      <c r="BN184" s="437"/>
      <c r="BO184" s="437"/>
      <c r="BP184" s="437"/>
      <c r="BQ184" s="437"/>
      <c r="BR184" s="437"/>
      <c r="BS184" s="437"/>
      <c r="BT184" s="437"/>
      <c r="BU184" s="437"/>
      <c r="BV184" s="437"/>
      <c r="BW184" s="437"/>
      <c r="BX184" s="437"/>
      <c r="BY184" s="437"/>
      <c r="BZ184" s="437"/>
      <c r="CA184" s="437"/>
      <c r="CB184" s="437"/>
      <c r="CC184" s="437"/>
      <c r="CD184" s="437"/>
      <c r="CE184" s="437"/>
      <c r="CF184" s="437"/>
      <c r="CG184" s="437"/>
      <c r="CH184" s="437"/>
      <c r="CI184" s="437"/>
      <c r="CJ184" s="437"/>
      <c r="CK184" s="437"/>
      <c r="CL184" s="437"/>
      <c r="CM184" s="437"/>
      <c r="CN184" s="437"/>
      <c r="CO184" s="437"/>
      <c r="CP184" s="437"/>
      <c r="CQ184" s="437"/>
      <c r="CR184" s="437"/>
      <c r="CS184" s="437"/>
      <c r="CT184" s="437"/>
      <c r="CU184" s="437"/>
      <c r="CV184" s="437"/>
      <c r="CW184" s="437"/>
      <c r="CX184" s="437"/>
      <c r="CY184" s="437"/>
      <c r="CZ184" s="437"/>
      <c r="DA184" s="437"/>
    </row>
    <row r="185" spans="2:105" s="362" customFormat="1" x14ac:dyDescent="0.2">
      <c r="B185" s="12"/>
      <c r="C185" s="12"/>
      <c r="D185" s="13"/>
      <c r="E185" s="12"/>
      <c r="F185" s="12"/>
      <c r="G185" s="13"/>
      <c r="H185" s="12"/>
      <c r="I185" s="437"/>
      <c r="J185" s="437"/>
      <c r="K185" s="437"/>
      <c r="L185" s="437"/>
      <c r="M185" s="437"/>
      <c r="N185" s="437"/>
      <c r="O185" s="437"/>
      <c r="P185" s="437"/>
      <c r="Q185" s="437"/>
      <c r="R185" s="437"/>
      <c r="S185" s="437"/>
      <c r="T185" s="437"/>
      <c r="U185" s="437"/>
      <c r="V185" s="437"/>
      <c r="W185" s="437"/>
      <c r="X185" s="437"/>
      <c r="Y185" s="437"/>
      <c r="Z185" s="437"/>
      <c r="AA185" s="437"/>
      <c r="AB185" s="437"/>
      <c r="AC185" s="437"/>
      <c r="AD185" s="437"/>
      <c r="AE185" s="437"/>
      <c r="AF185" s="437"/>
      <c r="AG185" s="437"/>
      <c r="AH185" s="437"/>
      <c r="AI185" s="437"/>
      <c r="AJ185" s="437"/>
      <c r="AK185" s="437"/>
      <c r="AL185" s="437"/>
      <c r="AM185" s="437"/>
      <c r="AN185" s="437"/>
      <c r="AO185" s="437"/>
      <c r="AP185" s="437"/>
      <c r="AQ185" s="437"/>
      <c r="AR185" s="437"/>
      <c r="AS185" s="437"/>
      <c r="AT185" s="437"/>
      <c r="AU185" s="437"/>
      <c r="AV185" s="437"/>
      <c r="AW185" s="437"/>
      <c r="AX185" s="437"/>
      <c r="AY185" s="437"/>
      <c r="AZ185" s="437"/>
      <c r="BA185" s="437"/>
      <c r="BB185" s="437"/>
      <c r="BC185" s="437"/>
      <c r="BD185" s="437"/>
      <c r="BE185" s="437"/>
      <c r="BF185" s="437"/>
      <c r="BG185" s="437"/>
      <c r="BH185" s="437"/>
      <c r="BI185" s="437"/>
      <c r="BJ185" s="437"/>
      <c r="BK185" s="437"/>
      <c r="BL185" s="437"/>
      <c r="BM185" s="437"/>
      <c r="BN185" s="437"/>
      <c r="BO185" s="437"/>
      <c r="BP185" s="437"/>
      <c r="BQ185" s="437"/>
      <c r="BR185" s="437"/>
      <c r="BS185" s="437"/>
      <c r="BT185" s="437"/>
      <c r="BU185" s="437"/>
      <c r="BV185" s="437"/>
      <c r="BW185" s="437"/>
      <c r="BX185" s="437"/>
      <c r="BY185" s="437"/>
      <c r="BZ185" s="437"/>
      <c r="CA185" s="437"/>
      <c r="CB185" s="437"/>
      <c r="CC185" s="437"/>
      <c r="CD185" s="437"/>
      <c r="CE185" s="437"/>
      <c r="CF185" s="437"/>
      <c r="CG185" s="437"/>
      <c r="CH185" s="437"/>
      <c r="CI185" s="437"/>
      <c r="CJ185" s="437"/>
      <c r="CK185" s="437"/>
      <c r="CL185" s="437"/>
      <c r="CM185" s="437"/>
      <c r="CN185" s="437"/>
      <c r="CO185" s="437"/>
      <c r="CP185" s="437"/>
      <c r="CQ185" s="437"/>
      <c r="CR185" s="437"/>
      <c r="CS185" s="437"/>
      <c r="CT185" s="437"/>
      <c r="CU185" s="437"/>
      <c r="CV185" s="437"/>
      <c r="CW185" s="437"/>
      <c r="CX185" s="437"/>
      <c r="CY185" s="437"/>
      <c r="CZ185" s="437"/>
      <c r="DA185" s="437"/>
    </row>
    <row r="186" spans="2:105" s="362" customFormat="1" x14ac:dyDescent="0.2">
      <c r="B186" s="12"/>
      <c r="C186" s="12"/>
      <c r="D186" s="13"/>
      <c r="E186" s="12"/>
      <c r="F186" s="12"/>
      <c r="G186" s="13"/>
      <c r="H186" s="12"/>
      <c r="I186" s="437"/>
      <c r="J186" s="437"/>
      <c r="K186" s="437"/>
      <c r="L186" s="437"/>
      <c r="M186" s="437"/>
      <c r="N186" s="437"/>
      <c r="O186" s="437"/>
      <c r="P186" s="437"/>
      <c r="Q186" s="437"/>
      <c r="R186" s="437"/>
      <c r="S186" s="437"/>
      <c r="T186" s="437"/>
      <c r="U186" s="437"/>
      <c r="V186" s="437"/>
      <c r="W186" s="437"/>
      <c r="X186" s="437"/>
      <c r="Y186" s="437"/>
      <c r="Z186" s="437"/>
      <c r="AA186" s="437"/>
      <c r="AB186" s="437"/>
      <c r="AC186" s="437"/>
      <c r="AD186" s="437"/>
      <c r="AE186" s="437"/>
      <c r="AF186" s="437"/>
      <c r="AG186" s="437"/>
      <c r="AH186" s="437"/>
      <c r="AI186" s="437"/>
      <c r="AJ186" s="437"/>
      <c r="AK186" s="437"/>
      <c r="AL186" s="437"/>
      <c r="AM186" s="437"/>
      <c r="AN186" s="437"/>
      <c r="AO186" s="437"/>
      <c r="AP186" s="437"/>
      <c r="AQ186" s="437"/>
      <c r="AR186" s="437"/>
      <c r="AS186" s="437"/>
      <c r="AT186" s="437"/>
      <c r="AU186" s="437"/>
      <c r="AV186" s="437"/>
      <c r="AW186" s="437"/>
      <c r="AX186" s="437"/>
      <c r="AY186" s="437"/>
      <c r="AZ186" s="437"/>
      <c r="BA186" s="437"/>
      <c r="BB186" s="437"/>
      <c r="BC186" s="437"/>
      <c r="BD186" s="437"/>
      <c r="BE186" s="437"/>
      <c r="BF186" s="437"/>
      <c r="BG186" s="437"/>
      <c r="BH186" s="437"/>
      <c r="BI186" s="437"/>
      <c r="BJ186" s="437"/>
      <c r="BK186" s="437"/>
      <c r="BL186" s="437"/>
      <c r="BM186" s="437"/>
      <c r="BN186" s="437"/>
      <c r="BO186" s="437"/>
      <c r="BP186" s="437"/>
      <c r="BQ186" s="437"/>
      <c r="BR186" s="437"/>
      <c r="BS186" s="437"/>
      <c r="BT186" s="437"/>
      <c r="BU186" s="437"/>
      <c r="BV186" s="437"/>
      <c r="BW186" s="437"/>
      <c r="BX186" s="437"/>
      <c r="BY186" s="437"/>
      <c r="BZ186" s="437"/>
      <c r="CA186" s="437"/>
      <c r="CB186" s="437"/>
      <c r="CC186" s="437"/>
      <c r="CD186" s="437"/>
      <c r="CE186" s="437"/>
      <c r="CF186" s="437"/>
      <c r="CG186" s="437"/>
      <c r="CH186" s="437"/>
      <c r="CI186" s="437"/>
      <c r="CJ186" s="437"/>
      <c r="CK186" s="437"/>
      <c r="CL186" s="437"/>
      <c r="CM186" s="437"/>
      <c r="CN186" s="437"/>
      <c r="CO186" s="437"/>
      <c r="CP186" s="437"/>
      <c r="CQ186" s="437"/>
      <c r="CR186" s="437"/>
      <c r="CS186" s="437"/>
      <c r="CT186" s="437"/>
      <c r="CU186" s="437"/>
      <c r="CV186" s="437"/>
      <c r="CW186" s="437"/>
      <c r="CX186" s="437"/>
      <c r="CY186" s="437"/>
      <c r="CZ186" s="437"/>
      <c r="DA186" s="437"/>
    </row>
    <row r="187" spans="2:105" s="362" customFormat="1" x14ac:dyDescent="0.2">
      <c r="B187" s="12"/>
      <c r="C187" s="12"/>
      <c r="D187" s="13"/>
      <c r="E187" s="12"/>
      <c r="F187" s="12"/>
      <c r="G187" s="13"/>
      <c r="H187" s="12"/>
      <c r="I187" s="437"/>
      <c r="J187" s="437"/>
      <c r="K187" s="437"/>
      <c r="L187" s="437"/>
      <c r="M187" s="437"/>
      <c r="N187" s="437"/>
      <c r="O187" s="437"/>
      <c r="P187" s="437"/>
      <c r="Q187" s="437"/>
      <c r="R187" s="437"/>
      <c r="S187" s="437"/>
      <c r="T187" s="437"/>
      <c r="U187" s="437"/>
      <c r="V187" s="437"/>
      <c r="W187" s="437"/>
      <c r="X187" s="437"/>
      <c r="Y187" s="437"/>
      <c r="Z187" s="437"/>
      <c r="AA187" s="437"/>
      <c r="AB187" s="437"/>
      <c r="AC187" s="437"/>
      <c r="AD187" s="437"/>
      <c r="AE187" s="437"/>
      <c r="AF187" s="437"/>
      <c r="AG187" s="437"/>
      <c r="AH187" s="437"/>
      <c r="AI187" s="437"/>
      <c r="AJ187" s="437"/>
      <c r="AK187" s="437"/>
      <c r="AL187" s="437"/>
      <c r="AM187" s="437"/>
      <c r="AN187" s="437"/>
      <c r="AO187" s="437"/>
      <c r="AP187" s="437"/>
      <c r="AQ187" s="437"/>
      <c r="AR187" s="437"/>
      <c r="AS187" s="437"/>
      <c r="AT187" s="437"/>
      <c r="AU187" s="437"/>
      <c r="AV187" s="437"/>
      <c r="AW187" s="437"/>
      <c r="AX187" s="437"/>
      <c r="AY187" s="437"/>
      <c r="AZ187" s="437"/>
      <c r="BA187" s="437"/>
      <c r="BB187" s="437"/>
      <c r="BC187" s="437"/>
      <c r="BD187" s="437"/>
      <c r="BE187" s="437"/>
      <c r="BF187" s="437"/>
      <c r="BG187" s="437"/>
      <c r="BH187" s="437"/>
      <c r="BI187" s="437"/>
      <c r="BJ187" s="437"/>
      <c r="BK187" s="437"/>
      <c r="BL187" s="437"/>
      <c r="BM187" s="437"/>
      <c r="BN187" s="437"/>
      <c r="BO187" s="437"/>
      <c r="BP187" s="437"/>
      <c r="BQ187" s="437"/>
      <c r="BR187" s="437"/>
      <c r="BS187" s="437"/>
      <c r="BT187" s="437"/>
      <c r="BU187" s="437"/>
      <c r="BV187" s="437"/>
      <c r="BW187" s="437"/>
      <c r="BX187" s="437"/>
      <c r="BY187" s="437"/>
      <c r="BZ187" s="437"/>
      <c r="CA187" s="437"/>
      <c r="CB187" s="437"/>
      <c r="CC187" s="437"/>
      <c r="CD187" s="437"/>
      <c r="CE187" s="437"/>
      <c r="CF187" s="437"/>
      <c r="CG187" s="437"/>
      <c r="CH187" s="437"/>
      <c r="CI187" s="437"/>
      <c r="CJ187" s="437"/>
      <c r="CK187" s="437"/>
      <c r="CL187" s="437"/>
      <c r="CM187" s="437"/>
      <c r="CN187" s="437"/>
      <c r="CO187" s="437"/>
      <c r="CP187" s="437"/>
      <c r="CQ187" s="437"/>
      <c r="CR187" s="437"/>
      <c r="CS187" s="437"/>
      <c r="CT187" s="437"/>
      <c r="CU187" s="437"/>
      <c r="CV187" s="437"/>
      <c r="CW187" s="437"/>
      <c r="CX187" s="437"/>
      <c r="CY187" s="437"/>
      <c r="CZ187" s="437"/>
      <c r="DA187" s="437"/>
    </row>
    <row r="188" spans="2:105" s="362" customFormat="1" x14ac:dyDescent="0.2">
      <c r="B188" s="12"/>
      <c r="C188" s="12"/>
      <c r="D188" s="13"/>
      <c r="E188" s="12"/>
      <c r="F188" s="12"/>
      <c r="G188" s="13"/>
      <c r="H188" s="12"/>
      <c r="I188" s="437"/>
      <c r="J188" s="437"/>
      <c r="K188" s="437"/>
      <c r="L188" s="437"/>
      <c r="M188" s="437"/>
      <c r="N188" s="437"/>
      <c r="O188" s="437"/>
      <c r="P188" s="437"/>
      <c r="Q188" s="437"/>
      <c r="R188" s="437"/>
      <c r="S188" s="437"/>
      <c r="T188" s="437"/>
      <c r="U188" s="437"/>
      <c r="V188" s="437"/>
      <c r="W188" s="437"/>
      <c r="X188" s="437"/>
      <c r="Y188" s="437"/>
      <c r="Z188" s="437"/>
      <c r="AA188" s="437"/>
      <c r="AB188" s="437"/>
      <c r="AC188" s="437"/>
      <c r="AD188" s="437"/>
      <c r="AE188" s="437"/>
      <c r="AF188" s="437"/>
      <c r="AG188" s="437"/>
      <c r="AH188" s="437"/>
      <c r="AI188" s="437"/>
      <c r="AJ188" s="437"/>
      <c r="AK188" s="437"/>
      <c r="AL188" s="437"/>
      <c r="AM188" s="437"/>
      <c r="AN188" s="437"/>
      <c r="AO188" s="437"/>
      <c r="AP188" s="437"/>
      <c r="AQ188" s="437"/>
      <c r="AR188" s="437"/>
      <c r="AS188" s="437"/>
      <c r="AT188" s="437"/>
      <c r="AU188" s="437"/>
      <c r="AV188" s="437"/>
      <c r="AW188" s="437"/>
      <c r="AX188" s="437"/>
      <c r="AY188" s="437"/>
      <c r="AZ188" s="437"/>
      <c r="BA188" s="437"/>
      <c r="BB188" s="437"/>
      <c r="BC188" s="437"/>
      <c r="BD188" s="437"/>
      <c r="BE188" s="437"/>
      <c r="BF188" s="437"/>
      <c r="BG188" s="437"/>
      <c r="BH188" s="437"/>
      <c r="BI188" s="437"/>
      <c r="BJ188" s="437"/>
      <c r="BK188" s="437"/>
      <c r="BL188" s="437"/>
      <c r="BM188" s="437"/>
      <c r="BN188" s="437"/>
      <c r="BO188" s="437"/>
      <c r="BP188" s="437"/>
      <c r="BQ188" s="437"/>
      <c r="BR188" s="437"/>
      <c r="BS188" s="437"/>
      <c r="BT188" s="437"/>
      <c r="BU188" s="437"/>
      <c r="BV188" s="437"/>
      <c r="BW188" s="437"/>
      <c r="BX188" s="437"/>
      <c r="BY188" s="437"/>
      <c r="BZ188" s="437"/>
      <c r="CA188" s="437"/>
      <c r="CB188" s="437"/>
      <c r="CC188" s="437"/>
      <c r="CD188" s="437"/>
      <c r="CE188" s="437"/>
      <c r="CF188" s="437"/>
      <c r="CG188" s="437"/>
      <c r="CH188" s="437"/>
      <c r="CI188" s="437"/>
      <c r="CJ188" s="437"/>
      <c r="CK188" s="437"/>
      <c r="CL188" s="437"/>
      <c r="CM188" s="437"/>
      <c r="CN188" s="437"/>
      <c r="CO188" s="437"/>
      <c r="CP188" s="437"/>
      <c r="CQ188" s="437"/>
      <c r="CR188" s="437"/>
      <c r="CS188" s="437"/>
      <c r="CT188" s="437"/>
      <c r="CU188" s="437"/>
      <c r="CV188" s="437"/>
      <c r="CW188" s="437"/>
      <c r="CX188" s="437"/>
      <c r="CY188" s="437"/>
      <c r="CZ188" s="437"/>
      <c r="DA188" s="437"/>
    </row>
    <row r="189" spans="2:105" s="362" customFormat="1" x14ac:dyDescent="0.2">
      <c r="B189" s="12"/>
      <c r="C189" s="12"/>
      <c r="D189" s="13"/>
      <c r="E189" s="12"/>
      <c r="F189" s="12"/>
      <c r="G189" s="13"/>
      <c r="H189" s="12"/>
      <c r="I189" s="437"/>
      <c r="J189" s="437"/>
      <c r="K189" s="437"/>
      <c r="L189" s="437"/>
      <c r="M189" s="437"/>
      <c r="N189" s="437"/>
      <c r="O189" s="437"/>
      <c r="P189" s="437"/>
      <c r="Q189" s="437"/>
      <c r="R189" s="437"/>
      <c r="S189" s="437"/>
      <c r="T189" s="437"/>
      <c r="U189" s="437"/>
      <c r="V189" s="437"/>
      <c r="W189" s="437"/>
      <c r="X189" s="437"/>
      <c r="Y189" s="437"/>
      <c r="Z189" s="437"/>
      <c r="AA189" s="437"/>
      <c r="AB189" s="437"/>
      <c r="AC189" s="437"/>
      <c r="AD189" s="437"/>
      <c r="AE189" s="437"/>
      <c r="AF189" s="437"/>
      <c r="AG189" s="437"/>
      <c r="AH189" s="437"/>
      <c r="AI189" s="437"/>
      <c r="AJ189" s="437"/>
      <c r="AK189" s="437"/>
      <c r="AL189" s="437"/>
      <c r="AM189" s="437"/>
      <c r="AN189" s="437"/>
      <c r="AO189" s="437"/>
      <c r="AP189" s="437"/>
      <c r="AQ189" s="437"/>
      <c r="AR189" s="437"/>
      <c r="AS189" s="437"/>
      <c r="AT189" s="437"/>
      <c r="AU189" s="437"/>
      <c r="AV189" s="437"/>
      <c r="AW189" s="437"/>
      <c r="AX189" s="437"/>
      <c r="AY189" s="437"/>
      <c r="AZ189" s="437"/>
      <c r="BA189" s="437"/>
      <c r="BB189" s="437"/>
      <c r="BC189" s="437"/>
      <c r="BD189" s="437"/>
      <c r="BE189" s="437"/>
      <c r="BF189" s="437"/>
      <c r="BG189" s="437"/>
      <c r="BH189" s="437"/>
      <c r="BI189" s="437"/>
      <c r="BJ189" s="437"/>
      <c r="BK189" s="437"/>
      <c r="BL189" s="437"/>
      <c r="BM189" s="437"/>
      <c r="BN189" s="437"/>
      <c r="BO189" s="437"/>
      <c r="BP189" s="437"/>
      <c r="BQ189" s="437"/>
      <c r="BR189" s="437"/>
      <c r="BS189" s="437"/>
      <c r="BT189" s="437"/>
      <c r="BU189" s="437"/>
      <c r="BV189" s="437"/>
      <c r="BW189" s="437"/>
      <c r="BX189" s="437"/>
      <c r="BY189" s="437"/>
      <c r="BZ189" s="437"/>
      <c r="CA189" s="437"/>
      <c r="CB189" s="437"/>
      <c r="CC189" s="437"/>
      <c r="CD189" s="437"/>
      <c r="CE189" s="437"/>
      <c r="CF189" s="437"/>
      <c r="CG189" s="437"/>
      <c r="CH189" s="437"/>
      <c r="CI189" s="437"/>
      <c r="CJ189" s="437"/>
      <c r="CK189" s="437"/>
      <c r="CL189" s="437"/>
      <c r="CM189" s="437"/>
      <c r="CN189" s="437"/>
      <c r="CO189" s="437"/>
      <c r="CP189" s="437"/>
      <c r="CQ189" s="437"/>
      <c r="CR189" s="437"/>
      <c r="CS189" s="437"/>
      <c r="CT189" s="437"/>
      <c r="CU189" s="437"/>
      <c r="CV189" s="437"/>
      <c r="CW189" s="437"/>
      <c r="CX189" s="437"/>
      <c r="CY189" s="437"/>
      <c r="CZ189" s="437"/>
      <c r="DA189" s="437"/>
    </row>
    <row r="190" spans="2:105" s="362" customFormat="1" x14ac:dyDescent="0.2">
      <c r="B190" s="12"/>
      <c r="C190" s="12"/>
      <c r="D190" s="13"/>
      <c r="E190" s="12"/>
      <c r="F190" s="12"/>
      <c r="G190" s="13"/>
      <c r="H190" s="12"/>
      <c r="I190" s="437"/>
      <c r="J190" s="437"/>
      <c r="K190" s="437"/>
      <c r="L190" s="437"/>
      <c r="M190" s="437"/>
      <c r="N190" s="437"/>
      <c r="O190" s="437"/>
      <c r="P190" s="437"/>
      <c r="Q190" s="437"/>
      <c r="R190" s="437"/>
      <c r="S190" s="437"/>
      <c r="T190" s="437"/>
      <c r="U190" s="437"/>
      <c r="V190" s="437"/>
      <c r="W190" s="437"/>
      <c r="X190" s="437"/>
      <c r="Y190" s="437"/>
      <c r="Z190" s="437"/>
      <c r="AA190" s="437"/>
      <c r="AB190" s="437"/>
      <c r="AC190" s="437"/>
      <c r="AD190" s="437"/>
      <c r="AE190" s="437"/>
      <c r="AF190" s="437"/>
      <c r="AG190" s="437"/>
      <c r="AH190" s="437"/>
      <c r="AI190" s="437"/>
      <c r="AJ190" s="437"/>
      <c r="AK190" s="437"/>
      <c r="AL190" s="437"/>
      <c r="AM190" s="437"/>
      <c r="AN190" s="437"/>
      <c r="AO190" s="437"/>
      <c r="AP190" s="437"/>
      <c r="AQ190" s="437"/>
      <c r="AR190" s="437"/>
      <c r="AS190" s="437"/>
      <c r="AT190" s="437"/>
      <c r="AU190" s="437"/>
      <c r="AV190" s="437"/>
      <c r="AW190" s="437"/>
      <c r="AX190" s="437"/>
      <c r="AY190" s="437"/>
      <c r="AZ190" s="437"/>
      <c r="BA190" s="437"/>
      <c r="BB190" s="437"/>
      <c r="BC190" s="437"/>
      <c r="BD190" s="437"/>
      <c r="BE190" s="437"/>
      <c r="BF190" s="437"/>
      <c r="BG190" s="437"/>
      <c r="BH190" s="437"/>
      <c r="BI190" s="437"/>
      <c r="BJ190" s="437"/>
      <c r="BK190" s="437"/>
      <c r="BL190" s="437"/>
      <c r="BM190" s="437"/>
      <c r="BN190" s="437"/>
      <c r="BO190" s="437"/>
      <c r="BP190" s="437"/>
      <c r="BQ190" s="437"/>
      <c r="BR190" s="437"/>
      <c r="BS190" s="437"/>
      <c r="BT190" s="437"/>
      <c r="BU190" s="437"/>
      <c r="BV190" s="437"/>
      <c r="BW190" s="437"/>
      <c r="BX190" s="437"/>
      <c r="BY190" s="437"/>
      <c r="BZ190" s="437"/>
      <c r="CA190" s="437"/>
      <c r="CB190" s="437"/>
      <c r="CC190" s="437"/>
      <c r="CD190" s="437"/>
      <c r="CE190" s="437"/>
      <c r="CF190" s="437"/>
      <c r="CG190" s="437"/>
      <c r="CH190" s="437"/>
      <c r="CI190" s="437"/>
      <c r="CJ190" s="437"/>
      <c r="CK190" s="437"/>
      <c r="CL190" s="437"/>
      <c r="CM190" s="437"/>
      <c r="CN190" s="437"/>
      <c r="CO190" s="437"/>
      <c r="CP190" s="437"/>
      <c r="CQ190" s="437"/>
      <c r="CR190" s="437"/>
      <c r="CS190" s="437"/>
      <c r="CT190" s="437"/>
      <c r="CU190" s="437"/>
      <c r="CV190" s="437"/>
      <c r="CW190" s="437"/>
      <c r="CX190" s="437"/>
      <c r="CY190" s="437"/>
      <c r="CZ190" s="437"/>
      <c r="DA190" s="437"/>
    </row>
    <row r="191" spans="2:105" s="362" customFormat="1" x14ac:dyDescent="0.2">
      <c r="B191" s="12"/>
      <c r="C191" s="12"/>
      <c r="D191" s="13"/>
      <c r="E191" s="12"/>
      <c r="F191" s="12"/>
      <c r="G191" s="13"/>
      <c r="H191" s="12"/>
      <c r="I191" s="437"/>
      <c r="J191" s="437"/>
      <c r="K191" s="437"/>
      <c r="L191" s="437"/>
      <c r="M191" s="437"/>
      <c r="N191" s="437"/>
      <c r="O191" s="437"/>
      <c r="P191" s="437"/>
      <c r="Q191" s="437"/>
      <c r="R191" s="437"/>
      <c r="S191" s="437"/>
      <c r="T191" s="437"/>
      <c r="U191" s="437"/>
      <c r="V191" s="437"/>
      <c r="W191" s="437"/>
      <c r="X191" s="437"/>
      <c r="Y191" s="437"/>
      <c r="Z191" s="437"/>
      <c r="AA191" s="437"/>
      <c r="AB191" s="437"/>
      <c r="AC191" s="437"/>
      <c r="AD191" s="437"/>
      <c r="AE191" s="437"/>
      <c r="AF191" s="437"/>
      <c r="AG191" s="437"/>
      <c r="AH191" s="437"/>
      <c r="AI191" s="437"/>
      <c r="AJ191" s="437"/>
      <c r="AK191" s="437"/>
      <c r="AL191" s="437"/>
      <c r="AM191" s="437"/>
      <c r="AN191" s="437"/>
      <c r="AO191" s="437"/>
      <c r="AP191" s="437"/>
      <c r="AQ191" s="437"/>
      <c r="AR191" s="437"/>
      <c r="AS191" s="437"/>
      <c r="AT191" s="437"/>
      <c r="AU191" s="437"/>
      <c r="AV191" s="437"/>
      <c r="AW191" s="437"/>
      <c r="AX191" s="437"/>
      <c r="AY191" s="437"/>
      <c r="AZ191" s="437"/>
      <c r="BA191" s="437"/>
      <c r="BB191" s="437"/>
      <c r="BC191" s="437"/>
      <c r="BD191" s="437"/>
      <c r="BE191" s="437"/>
      <c r="BF191" s="437"/>
      <c r="BG191" s="437"/>
      <c r="BH191" s="437"/>
      <c r="BI191" s="437"/>
      <c r="BJ191" s="437"/>
      <c r="BK191" s="437"/>
      <c r="BL191" s="437"/>
      <c r="BM191" s="437"/>
      <c r="BN191" s="437"/>
      <c r="BO191" s="437"/>
      <c r="BP191" s="437"/>
      <c r="BQ191" s="437"/>
      <c r="BR191" s="437"/>
      <c r="BS191" s="437"/>
      <c r="BT191" s="437"/>
      <c r="BU191" s="437"/>
      <c r="BV191" s="437"/>
      <c r="BW191" s="437"/>
      <c r="BX191" s="437"/>
      <c r="BY191" s="437"/>
      <c r="BZ191" s="437"/>
      <c r="CA191" s="437"/>
      <c r="CB191" s="437"/>
      <c r="CC191" s="437"/>
      <c r="CD191" s="437"/>
      <c r="CE191" s="437"/>
      <c r="CF191" s="437"/>
      <c r="CG191" s="437"/>
      <c r="CH191" s="437"/>
      <c r="CI191" s="437"/>
      <c r="CJ191" s="437"/>
      <c r="CK191" s="437"/>
      <c r="CL191" s="437"/>
      <c r="CM191" s="437"/>
      <c r="CN191" s="437"/>
      <c r="CO191" s="437"/>
      <c r="CP191" s="437"/>
      <c r="CQ191" s="437"/>
      <c r="CR191" s="437"/>
      <c r="CS191" s="437"/>
      <c r="CT191" s="437"/>
      <c r="CU191" s="437"/>
      <c r="CV191" s="437"/>
      <c r="CW191" s="437"/>
      <c r="CX191" s="437"/>
      <c r="CY191" s="437"/>
      <c r="CZ191" s="437"/>
      <c r="DA191" s="437"/>
    </row>
    <row r="192" spans="2:105" s="362" customFormat="1" x14ac:dyDescent="0.2">
      <c r="B192" s="12"/>
      <c r="C192" s="12"/>
      <c r="D192" s="13"/>
      <c r="E192" s="12"/>
      <c r="F192" s="12"/>
      <c r="G192" s="13"/>
      <c r="H192" s="12"/>
      <c r="I192" s="437"/>
      <c r="J192" s="437"/>
      <c r="K192" s="437"/>
      <c r="L192" s="437"/>
      <c r="M192" s="437"/>
      <c r="N192" s="437"/>
      <c r="O192" s="437"/>
      <c r="P192" s="437"/>
      <c r="Q192" s="437"/>
      <c r="R192" s="437"/>
      <c r="S192" s="437"/>
      <c r="T192" s="437"/>
      <c r="U192" s="437"/>
      <c r="V192" s="437"/>
      <c r="W192" s="437"/>
      <c r="X192" s="437"/>
      <c r="Y192" s="437"/>
      <c r="Z192" s="437"/>
      <c r="AA192" s="437"/>
      <c r="AB192" s="437"/>
      <c r="AC192" s="437"/>
      <c r="AD192" s="437"/>
      <c r="AE192" s="437"/>
      <c r="AF192" s="437"/>
      <c r="AG192" s="437"/>
      <c r="AH192" s="437"/>
      <c r="AI192" s="437"/>
      <c r="AJ192" s="437"/>
      <c r="AK192" s="437"/>
      <c r="AL192" s="437"/>
      <c r="AM192" s="437"/>
      <c r="AN192" s="437"/>
      <c r="AO192" s="437"/>
      <c r="AP192" s="437"/>
      <c r="AQ192" s="437"/>
      <c r="AR192" s="437"/>
      <c r="AS192" s="437"/>
      <c r="AT192" s="437"/>
      <c r="AU192" s="437"/>
      <c r="AV192" s="437"/>
      <c r="AW192" s="437"/>
      <c r="AX192" s="437"/>
      <c r="AY192" s="437"/>
      <c r="AZ192" s="437"/>
      <c r="BA192" s="437"/>
      <c r="BB192" s="437"/>
      <c r="BC192" s="437"/>
      <c r="BD192" s="437"/>
      <c r="BE192" s="437"/>
      <c r="BF192" s="437"/>
      <c r="BG192" s="437"/>
      <c r="BH192" s="437"/>
      <c r="BI192" s="437"/>
      <c r="BJ192" s="437"/>
      <c r="BK192" s="437"/>
      <c r="BL192" s="437"/>
      <c r="BM192" s="437"/>
      <c r="BN192" s="437"/>
      <c r="BO192" s="437"/>
      <c r="BP192" s="437"/>
      <c r="BQ192" s="437"/>
      <c r="BR192" s="437"/>
      <c r="BS192" s="437"/>
      <c r="BT192" s="437"/>
      <c r="BU192" s="437"/>
      <c r="BV192" s="437"/>
      <c r="BW192" s="437"/>
      <c r="BX192" s="437"/>
      <c r="BY192" s="437"/>
      <c r="BZ192" s="437"/>
      <c r="CA192" s="437"/>
      <c r="CB192" s="437"/>
      <c r="CC192" s="437"/>
      <c r="CD192" s="437"/>
      <c r="CE192" s="437"/>
      <c r="CF192" s="437"/>
      <c r="CG192" s="437"/>
      <c r="CH192" s="437"/>
      <c r="CI192" s="437"/>
      <c r="CJ192" s="437"/>
      <c r="CK192" s="437"/>
      <c r="CL192" s="437"/>
      <c r="CM192" s="437"/>
      <c r="CN192" s="437"/>
      <c r="CO192" s="437"/>
      <c r="CP192" s="437"/>
      <c r="CQ192" s="437"/>
      <c r="CR192" s="437"/>
      <c r="CS192" s="437"/>
      <c r="CT192" s="437"/>
      <c r="CU192" s="437"/>
      <c r="CV192" s="437"/>
      <c r="CW192" s="437"/>
      <c r="CX192" s="437"/>
      <c r="CY192" s="437"/>
      <c r="CZ192" s="437"/>
      <c r="DA192" s="437"/>
    </row>
  </sheetData>
  <mergeCells count="39">
    <mergeCell ref="H2:H4"/>
    <mergeCell ref="J3:J4"/>
    <mergeCell ref="J2:K2"/>
    <mergeCell ref="K3:K4"/>
    <mergeCell ref="J5:J7"/>
    <mergeCell ref="K5:K7"/>
    <mergeCell ref="J8:J12"/>
    <mergeCell ref="K8:K12"/>
    <mergeCell ref="J13:J15"/>
    <mergeCell ref="K13:K15"/>
    <mergeCell ref="J22:J24"/>
    <mergeCell ref="K22:K24"/>
    <mergeCell ref="J16:J17"/>
    <mergeCell ref="B22:B24"/>
    <mergeCell ref="H22:H24"/>
    <mergeCell ref="H20:H21"/>
    <mergeCell ref="B20:B21"/>
    <mergeCell ref="B1:H1"/>
    <mergeCell ref="B2:B4"/>
    <mergeCell ref="C2:C4"/>
    <mergeCell ref="D2:D4"/>
    <mergeCell ref="E2:E4"/>
    <mergeCell ref="F2:F4"/>
    <mergeCell ref="G2:G4"/>
    <mergeCell ref="B5:B7"/>
    <mergeCell ref="B8:B12"/>
    <mergeCell ref="B13:B15"/>
    <mergeCell ref="B16:B17"/>
    <mergeCell ref="B18:B19"/>
    <mergeCell ref="H5:H7"/>
    <mergeCell ref="H8:H12"/>
    <mergeCell ref="H13:H15"/>
    <mergeCell ref="H18:H19"/>
    <mergeCell ref="H16:H17"/>
    <mergeCell ref="K16:K17"/>
    <mergeCell ref="J18:J19"/>
    <mergeCell ref="K18:K19"/>
    <mergeCell ref="J20:J21"/>
    <mergeCell ref="K20:K21"/>
  </mergeCells>
  <pageMargins left="0.51181102362204722" right="0.51181102362204722" top="0.78740157480314965" bottom="0.78740157480314965" header="0.31496062992125984" footer="0.31496062992125984"/>
  <pageSetup paperSize="9" scale="39" orientation="landscape" horizontalDpi="4294967295" verticalDpi="4294967295" r:id="rId1"/>
  <rowBreaks count="1" manualBreakCount="1">
    <brk id="25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82"/>
  <sheetViews>
    <sheetView showGridLines="0" topLeftCell="A34" zoomScale="85" zoomScaleNormal="85" zoomScaleSheetLayoutView="85" zoomScalePageLayoutView="70" workbookViewId="0">
      <selection activeCell="F57" sqref="F57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10" width="9.5703125" style="18" customWidth="1"/>
    <col min="11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72" t="s">
        <v>441</v>
      </c>
      <c r="B1" s="673"/>
      <c r="C1" s="673"/>
      <c r="D1" s="673"/>
      <c r="E1" s="673"/>
      <c r="F1" s="673"/>
      <c r="G1" s="674"/>
    </row>
    <row r="2" spans="1:10" ht="78.75" customHeight="1" thickBot="1" x14ac:dyDescent="0.3">
      <c r="A2" s="640" t="s">
        <v>442</v>
      </c>
      <c r="B2" s="641"/>
      <c r="C2" s="675" t="s">
        <v>452</v>
      </c>
      <c r="D2" s="676"/>
      <c r="E2" s="677"/>
      <c r="F2" s="678" t="s">
        <v>99</v>
      </c>
      <c r="G2" s="679"/>
      <c r="J2" s="19"/>
    </row>
    <row r="3" spans="1:10" ht="16.5" thickBot="1" x14ac:dyDescent="0.3">
      <c r="A3" s="642" t="s">
        <v>100</v>
      </c>
      <c r="B3" s="643"/>
      <c r="C3" s="638">
        <f>SUM(Resumo!G18:G19)</f>
        <v>818.59999999999991</v>
      </c>
      <c r="D3" s="638"/>
      <c r="E3" s="639"/>
      <c r="F3" s="680"/>
      <c r="G3" s="681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330" t="s">
        <v>101</v>
      </c>
      <c r="B6" s="331" t="s">
        <v>102</v>
      </c>
      <c r="C6" s="332" t="s">
        <v>103</v>
      </c>
      <c r="D6" s="332" t="s">
        <v>104</v>
      </c>
      <c r="E6" s="333" t="s">
        <v>105</v>
      </c>
      <c r="F6" s="333" t="s">
        <v>106</v>
      </c>
      <c r="G6" s="334" t="s">
        <v>107</v>
      </c>
      <c r="H6" s="34"/>
      <c r="I6" s="3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130260.00704186437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51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51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/>
      <c r="F14" s="63">
        <f>VLOOKUP(A14,'Planilha base'!$C$11:$F$27,4)</f>
        <v>13432.23</v>
      </c>
      <c r="G14" s="467">
        <f>E14*F14</f>
        <v>0</v>
      </c>
      <c r="I14" s="51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/>
      <c r="F15" s="63">
        <f>VLOOKUP(A15,'Planilha base'!$C$11:$F$27,4)</f>
        <v>10508.36</v>
      </c>
      <c r="G15" s="467">
        <f>E15*F15</f>
        <v>0</v>
      </c>
      <c r="I15" s="51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/>
      <c r="F16" s="63">
        <f>VLOOKUP(A16,'Planilha base'!$C$11:$F$27,4)</f>
        <v>8645.2999999999993</v>
      </c>
      <c r="G16" s="467">
        <f>E16*F16</f>
        <v>0</v>
      </c>
      <c r="I16" s="51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51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0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0</v>
      </c>
      <c r="F20" s="63">
        <f>VLOOKUP(A20,'Planilha base'!$C$11:$F$27,4)</f>
        <v>4644.72</v>
      </c>
      <c r="G20" s="467">
        <f>E20*F20</f>
        <v>0</v>
      </c>
      <c r="I20" s="51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51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51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51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51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51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27195.269743333338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32165.4</v>
      </c>
      <c r="F31" s="301">
        <v>0.84040000000000004</v>
      </c>
      <c r="G31" s="467">
        <f>E31*F31</f>
        <v>27031.802160000003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0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9894.8213749999995</v>
      </c>
      <c r="J33" s="46"/>
    </row>
    <row r="34" spans="1:10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32982.737916666665</v>
      </c>
      <c r="F34" s="301">
        <v>0.3</v>
      </c>
      <c r="G34" s="467">
        <f>E34*F34</f>
        <v>9894.8213749999995</v>
      </c>
      <c r="J34" s="46"/>
    </row>
    <row r="35" spans="1:10" x14ac:dyDescent="0.25">
      <c r="A35" s="37"/>
      <c r="B35" s="38"/>
      <c r="C35" s="39"/>
      <c r="D35" s="57"/>
      <c r="E35" s="44"/>
      <c r="F35" s="474"/>
      <c r="G35" s="469"/>
      <c r="J35" s="46"/>
    </row>
    <row r="36" spans="1:10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6234.54</v>
      </c>
      <c r="I36" s="61"/>
      <c r="J36" s="46"/>
    </row>
    <row r="37" spans="1:10" x14ac:dyDescent="0.25">
      <c r="A37" s="47"/>
      <c r="B37" s="48" t="s">
        <v>153</v>
      </c>
      <c r="C37" s="55" t="s">
        <v>154</v>
      </c>
      <c r="D37" s="53" t="s">
        <v>155</v>
      </c>
      <c r="E37" s="44">
        <v>2</v>
      </c>
      <c r="F37" s="63">
        <f>'Tabela DNIT-Consult'!$L$23</f>
        <v>3117.27</v>
      </c>
      <c r="G37" s="467">
        <f>E37*F37</f>
        <v>6234.54</v>
      </c>
      <c r="I37" s="51"/>
      <c r="J37" s="46"/>
    </row>
    <row r="38" spans="1:10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51"/>
      <c r="J38" s="46"/>
    </row>
    <row r="39" spans="1:10" x14ac:dyDescent="0.25">
      <c r="A39" s="47"/>
      <c r="B39" s="48"/>
      <c r="C39" s="62"/>
      <c r="D39" s="57"/>
      <c r="E39" s="44"/>
      <c r="F39" s="63"/>
      <c r="G39" s="469"/>
      <c r="J39" s="46"/>
    </row>
    <row r="40" spans="1:10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242.73333333333332</v>
      </c>
      <c r="H40" s="65"/>
      <c r="J40" s="46"/>
    </row>
    <row r="41" spans="1:10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51"/>
      <c r="J41" s="46"/>
    </row>
    <row r="42" spans="1:10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51"/>
      <c r="J42" s="46"/>
    </row>
    <row r="43" spans="1:10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67"/>
      <c r="J43" s="46"/>
    </row>
    <row r="44" spans="1:10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67"/>
      <c r="J44" s="46"/>
    </row>
    <row r="45" spans="1:10" x14ac:dyDescent="0.25">
      <c r="A45" s="47"/>
      <c r="B45" s="48" t="s">
        <v>167</v>
      </c>
      <c r="C45" s="66" t="s">
        <v>168</v>
      </c>
      <c r="D45" s="53" t="s">
        <v>155</v>
      </c>
      <c r="E45" s="44">
        <v>5</v>
      </c>
      <c r="F45" s="63">
        <f>375/60</f>
        <v>6.25</v>
      </c>
      <c r="G45" s="467">
        <f>E45*F45</f>
        <v>31.25</v>
      </c>
      <c r="I45" s="67"/>
      <c r="J45" s="46"/>
    </row>
    <row r="46" spans="1:10" x14ac:dyDescent="0.25">
      <c r="A46" s="47"/>
      <c r="B46" s="48"/>
      <c r="C46" s="68"/>
      <c r="D46" s="57"/>
      <c r="E46" s="69"/>
      <c r="F46" s="63"/>
      <c r="G46" s="469"/>
      <c r="I46" s="70"/>
      <c r="J46" s="46"/>
    </row>
    <row r="47" spans="1:10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1500</v>
      </c>
      <c r="I47" s="70"/>
      <c r="J47" s="46"/>
    </row>
    <row r="48" spans="1:10" x14ac:dyDescent="0.25">
      <c r="A48" s="47"/>
      <c r="B48" s="48" t="s">
        <v>170</v>
      </c>
      <c r="C48" s="55" t="s">
        <v>169</v>
      </c>
      <c r="D48" s="53" t="s">
        <v>171</v>
      </c>
      <c r="E48" s="44">
        <v>1000</v>
      </c>
      <c r="F48" s="63">
        <f>'Planilha base'!F47</f>
        <v>1.5</v>
      </c>
      <c r="G48" s="467">
        <f>E48*F48</f>
        <v>1500</v>
      </c>
      <c r="I48" s="67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51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51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51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19176</v>
      </c>
      <c r="I54" s="51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SUM(Diárias!G5:G24)</f>
        <v>80</v>
      </c>
      <c r="F55" s="63">
        <f>'Planilha base'!G77</f>
        <v>239.7</v>
      </c>
      <c r="G55" s="467">
        <f>E55*F55</f>
        <v>19176</v>
      </c>
      <c r="I55" s="51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67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30531.334673531041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99728.67236833334</v>
      </c>
      <c r="F59" s="301">
        <v>0.12</v>
      </c>
      <c r="G59" s="467">
        <f>E59*F59</f>
        <v>11967.440684200001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111696.11305253334</v>
      </c>
      <c r="F60" s="301">
        <v>0.16619999999999999</v>
      </c>
      <c r="G60" s="467">
        <f>E60*F60</f>
        <v>18563.893989331042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130260.00704186437</v>
      </c>
      <c r="H62" s="77"/>
      <c r="I62" s="78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1563120.0845023724</v>
      </c>
      <c r="H63" s="79">
        <f>G63/C3</f>
        <v>1909.5041345008217</v>
      </c>
      <c r="I63" s="8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82" t="s">
        <v>191</v>
      </c>
      <c r="B66" s="682"/>
      <c r="C66" s="682"/>
      <c r="D66" s="682"/>
      <c r="E66" s="682"/>
      <c r="F66" s="682"/>
      <c r="G66" s="682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683" t="s">
        <v>101</v>
      </c>
      <c r="B68" s="684"/>
      <c r="C68" s="335" t="s">
        <v>103</v>
      </c>
      <c r="D68" s="336"/>
      <c r="E68" s="337" t="s">
        <v>192</v>
      </c>
      <c r="F68" s="337" t="s">
        <v>193</v>
      </c>
      <c r="G68" s="338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05'!D28</f>
        <v>1</v>
      </c>
      <c r="F69" s="95">
        <f>'Relatorios LOTE 05'!D26</f>
        <v>540.27599999999995</v>
      </c>
      <c r="G69" s="94">
        <f t="shared" ref="G69:G74" si="0">F69*E69</f>
        <v>540.27599999999995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05'!D52</f>
        <v>1</v>
      </c>
      <c r="F70" s="95">
        <f>'Relatorios LOTE 05'!D50</f>
        <v>294.69599999999997</v>
      </c>
      <c r="G70" s="94">
        <f t="shared" si="0"/>
        <v>294.69599999999997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05'!D76</f>
        <v>1</v>
      </c>
      <c r="F71" s="95">
        <f>'Relatorios LOTE 05'!D74</f>
        <v>224.76709499999996</v>
      </c>
      <c r="G71" s="94">
        <f t="shared" si="0"/>
        <v>224.76709499999996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05'!D97</f>
        <v>1</v>
      </c>
      <c r="F72" s="95">
        <f>'Relatorios LOTE 05'!D95</f>
        <v>272.777985</v>
      </c>
      <c r="G72" s="94">
        <f t="shared" si="0"/>
        <v>272.777985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05'!D118</f>
        <v>1</v>
      </c>
      <c r="F73" s="95">
        <f>'Relatorios LOTE 05'!D116</f>
        <v>292.19926999999996</v>
      </c>
      <c r="G73" s="94">
        <f t="shared" si="0"/>
        <v>292.19926999999996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05'!D140</f>
        <v>12</v>
      </c>
      <c r="F74" s="95">
        <f>'Relatorios LOTE 05'!D138</f>
        <v>1260.6439999999998</v>
      </c>
      <c r="G74" s="94">
        <f t="shared" si="0"/>
        <v>15127.727999999997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16752.444349999998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1563120.0845023724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16752.444349999998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105">
        <f>ROUND(G79/G80,2)</f>
        <v>93.31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153"/>
  <sheetViews>
    <sheetView showGridLines="0" zoomScale="85" zoomScaleNormal="85" zoomScaleSheetLayoutView="85" zoomScalePageLayoutView="85" workbookViewId="0">
      <pane ySplit="1" topLeftCell="A134" activePane="bottomLeft" state="frozen"/>
      <selection activeCell="B121" sqref="B121"/>
      <selection pane="bottomLeft" activeCell="F145" sqref="F145:F150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7" width="12.28515625" style="276" bestFit="1" customWidth="1"/>
    <col min="8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687" t="s">
        <v>382</v>
      </c>
      <c r="B1" s="688"/>
      <c r="C1" s="671" t="str">
        <f>'Custo Gerencial LOTE 05'!C2:E2</f>
        <v>BR-116/PR/SC (PLANALTO SUL)
BR-116/PR (REGIS BITTENCOURT)</v>
      </c>
      <c r="D1" s="671"/>
      <c r="E1" s="671"/>
      <c r="F1" s="339">
        <f>'Custo Gerencial LOTE 05'!C3</f>
        <v>818.59999999999991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340" t="s">
        <v>247</v>
      </c>
      <c r="B3" s="685" t="s">
        <v>384</v>
      </c>
      <c r="C3" s="685"/>
      <c r="D3" s="685"/>
      <c r="E3" s="685"/>
      <c r="F3" s="686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844777.36534981418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24527.875519999994</v>
      </c>
      <c r="J6" s="285"/>
      <c r="K6" s="285"/>
      <c r="L6" s="285"/>
      <c r="M6" s="290">
        <f>N6*O6</f>
        <v>176</v>
      </c>
      <c r="N6" s="285">
        <v>22</v>
      </c>
      <c r="O6" s="290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($H$7*$F$1)/$K$2</f>
        <v>180.09199999999998</v>
      </c>
      <c r="E7" s="63">
        <f>'Tabela DNIT-Consult'!$L$9/176</f>
        <v>76.31948863636363</v>
      </c>
      <c r="F7" s="50">
        <f>D7*E7</f>
        <v>13744.529347499998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($H$7*$F$1)/$K$2</f>
        <v>180.09199999999998</v>
      </c>
      <c r="E8" s="63">
        <f>'Planilha base'!$F$16/176</f>
        <v>49.121022727272724</v>
      </c>
      <c r="F8" s="50">
        <f>D8*E8</f>
        <v>8846.3032249999978</v>
      </c>
      <c r="L8" s="295"/>
      <c r="M8" s="296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($H$7*$F$1)/$K$2</f>
        <v>180.09199999999998</v>
      </c>
      <c r="E9" s="63">
        <f>'Planilha base'!$F$27/176</f>
        <v>10.755852272727273</v>
      </c>
      <c r="F9" s="50">
        <f>D9*E9</f>
        <v>1937.0429474999999</v>
      </c>
      <c r="L9" s="160"/>
    </row>
    <row r="10" spans="1:15" ht="19.899999999999999" customHeight="1" x14ac:dyDescent="0.2">
      <c r="A10" s="291"/>
      <c r="B10" s="55"/>
      <c r="C10" s="53"/>
      <c r="D10" s="297"/>
      <c r="E10" s="63"/>
      <c r="F10" s="50"/>
      <c r="O10" s="298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27971.589243007995</v>
      </c>
      <c r="M11" s="300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24527.875519999994</v>
      </c>
      <c r="E12" s="301">
        <v>0.84040000000000004</v>
      </c>
      <c r="F12" s="50">
        <f>D12*E12</f>
        <v>20613.226587007997</v>
      </c>
      <c r="M12" s="302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24527.875519999994</v>
      </c>
      <c r="E13" s="301">
        <v>0.3</v>
      </c>
      <c r="F13" s="50">
        <f>D13*E13</f>
        <v>7358.3626559999984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555675.6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Rolamento'!H18:H19)</f>
        <v>1119.48</v>
      </c>
      <c r="E16" s="63">
        <f>'Cotações FWD,IRI,LVC e Mancha'!AT19</f>
        <v>238</v>
      </c>
      <c r="F16" s="50">
        <f>D16*E16</f>
        <v>266436.24</v>
      </c>
    </row>
    <row r="17" spans="1:1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Rolamento'!I18:I19)</f>
        <v>2798.7</v>
      </c>
      <c r="E17" s="63">
        <f>'Cotações FWD,IRI,LVC e Mancha'!AU19</f>
        <v>64</v>
      </c>
      <c r="F17" s="50">
        <f>D17*E17</f>
        <v>179116.79999999999</v>
      </c>
    </row>
    <row r="18" spans="1:1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Rolamento'!J18:J19)</f>
        <v>1119.48</v>
      </c>
      <c r="E18" s="63">
        <f>'Cotações FWD,IRI,LVC e Mancha'!AV19</f>
        <v>72</v>
      </c>
      <c r="F18" s="50">
        <f>D18*E18</f>
        <v>80602.559999999998</v>
      </c>
    </row>
    <row r="19" spans="1:1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Rolamento'!K18:K19)</f>
        <v>123</v>
      </c>
      <c r="E19" s="63">
        <f>'Cotações FWD,IRI,LVC e Mancha'!AW19</f>
        <v>240</v>
      </c>
      <c r="F19" s="50">
        <f>D19*E19</f>
        <v>29520</v>
      </c>
    </row>
    <row r="20" spans="1:16" ht="19.899999999999999" customHeight="1" x14ac:dyDescent="0.2">
      <c r="A20" s="291"/>
      <c r="B20" s="55"/>
      <c r="C20" s="53"/>
      <c r="D20" s="297"/>
      <c r="E20" s="63"/>
      <c r="F20" s="50"/>
    </row>
    <row r="21" spans="1:1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186189.14702680628</v>
      </c>
    </row>
    <row r="22" spans="1:1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608175.06476300792</v>
      </c>
      <c r="E22" s="301">
        <v>0.12</v>
      </c>
      <c r="F22" s="50">
        <f>D22*E22</f>
        <v>72981.007771560951</v>
      </c>
    </row>
    <row r="23" spans="1:1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681156.07253456884</v>
      </c>
      <c r="E23" s="301">
        <v>0.16619999999999999</v>
      </c>
      <c r="F23" s="50">
        <f>D23*E23</f>
        <v>113208.13925524533</v>
      </c>
    </row>
    <row r="24" spans="1:1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794364.21178981417</v>
      </c>
    </row>
    <row r="25" spans="1:1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1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540.27599999999995</v>
      </c>
      <c r="E26" s="308">
        <f>'Custo Gerencial LOTE 05'!$G$81</f>
        <v>93.31</v>
      </c>
      <c r="F26" s="309">
        <f>D26*E26</f>
        <v>50413.153559999999</v>
      </c>
    </row>
    <row r="27" spans="1:1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1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844777.36534981418</v>
      </c>
      <c r="F28" s="315">
        <f>E28*D28</f>
        <v>844777.36534981418</v>
      </c>
      <c r="J28" s="316"/>
      <c r="K28" s="316"/>
      <c r="L28" s="316"/>
      <c r="M28" s="316"/>
      <c r="N28" s="316"/>
      <c r="O28" s="316"/>
      <c r="P28" s="316"/>
    </row>
    <row r="29" spans="1:16" ht="19.899999999999999" customHeight="1" thickBot="1" x14ac:dyDescent="0.25">
      <c r="A29" s="317"/>
      <c r="B29" s="317"/>
      <c r="C29" s="317"/>
      <c r="D29" s="317"/>
      <c r="E29" s="317"/>
      <c r="F29" s="317"/>
      <c r="J29" s="318"/>
      <c r="K29" s="318"/>
      <c r="L29" s="318"/>
      <c r="M29" s="318"/>
      <c r="N29" s="318"/>
      <c r="O29" s="318"/>
      <c r="P29" s="318"/>
    </row>
    <row r="30" spans="1:16" ht="19.899999999999999" customHeight="1" x14ac:dyDescent="0.2">
      <c r="A30" s="340" t="s">
        <v>249</v>
      </c>
      <c r="B30" s="685" t="s">
        <v>420</v>
      </c>
      <c r="C30" s="685"/>
      <c r="D30" s="685"/>
      <c r="E30" s="685"/>
      <c r="F30" s="686"/>
    </row>
    <row r="31" spans="1:1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1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131637.53734405889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8495.231731363634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98.231999999999985</v>
      </c>
      <c r="E34" s="69">
        <f>'Planilha base'!$F$15/176</f>
        <v>59.706590909090913</v>
      </c>
      <c r="F34" s="482">
        <f>D34*E34</f>
        <v>5865.0978381818177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98.231999999999985</v>
      </c>
      <c r="E35" s="69">
        <f>'Planilha base'!$F$22/176</f>
        <v>16.018863636363637</v>
      </c>
      <c r="F35" s="482">
        <f>D35*E35</f>
        <v>1573.5650127272725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98.231999999999985</v>
      </c>
      <c r="E36" s="63">
        <f>'Planilha base'!$F$27/176</f>
        <v>10.755852272727273</v>
      </c>
      <c r="F36" s="482">
        <f>D36*E36</f>
        <v>1056.5688804545453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9687.962266447088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8495.231731363634</v>
      </c>
      <c r="E39" s="301">
        <v>0.84040000000000004</v>
      </c>
      <c r="F39" s="482">
        <f>D39*E39</f>
        <v>7139.3927470379986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8495.231731363634</v>
      </c>
      <c r="E40" s="301">
        <v>0.3</v>
      </c>
      <c r="F40" s="482">
        <f>D40*E40</f>
        <v>2548.5695194090899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61547.259599999998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368.36999999999995</v>
      </c>
      <c r="E43" s="485">
        <f>'Cotações FWD,IRI,LVC e Mancha'!AV32</f>
        <v>167.08</v>
      </c>
      <c r="F43" s="482">
        <f>D43*E43</f>
        <v>61547.259599999998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24408.999986248164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79730.453597810716</v>
      </c>
      <c r="E46" s="301">
        <v>0.12</v>
      </c>
      <c r="F46" s="482">
        <f>D46*E46</f>
        <v>9567.6544317372864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89298.108029548006</v>
      </c>
      <c r="E47" s="301">
        <v>0.16619999999999999</v>
      </c>
      <c r="F47" s="50">
        <f>D47*E47</f>
        <v>14841.345554510877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104139.45358405888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294.69599999999997</v>
      </c>
      <c r="E50" s="321">
        <f>'Custo Gerencial LOTE 05'!$G$81</f>
        <v>93.31</v>
      </c>
      <c r="F50" s="309">
        <f>D50*E50</f>
        <v>27498.083759999998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131637.53734405889</v>
      </c>
      <c r="F52" s="315">
        <f>E52*D52</f>
        <v>131637.53734405889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340" t="s">
        <v>419</v>
      </c>
      <c r="B54" s="685" t="s">
        <v>421</v>
      </c>
      <c r="C54" s="685"/>
      <c r="D54" s="685"/>
      <c r="E54" s="685"/>
      <c r="F54" s="686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92680.2970968718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6479.3840351088065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74.922364999999985</v>
      </c>
      <c r="E58" s="69">
        <f>'Planilha base'!$F$15/176</f>
        <v>59.706590909090913</v>
      </c>
      <c r="F58" s="50">
        <f>D58*E58</f>
        <v>4473.3589969965906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74.922364999999985</v>
      </c>
      <c r="E59" s="69">
        <f>'Planilha base'!$F$22/176</f>
        <v>16.018863636363637</v>
      </c>
      <c r="F59" s="50">
        <f>D59*E59</f>
        <v>1200.1711482488633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74.922364999999985</v>
      </c>
      <c r="E60" s="63">
        <f>'Planilha base'!$F$27/176</f>
        <v>10.755852272727273</v>
      </c>
      <c r="F60" s="50">
        <f>D60*E60</f>
        <v>805.85388986335215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7389.0895536380831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6479.3840351088065</v>
      </c>
      <c r="E63" s="301">
        <v>0.84040000000000004</v>
      </c>
      <c r="F63" s="50">
        <f>D63*E63</f>
        <v>5445.2743431054414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6479.3840351088065</v>
      </c>
      <c r="E64" s="301">
        <v>0.3</v>
      </c>
      <c r="F64" s="50">
        <f>D64*E64</f>
        <v>1943.8152105326419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41031.506399999998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245.57999999999996</v>
      </c>
      <c r="E67" s="485">
        <f>'Cotações FWD,IRI,LVC e Mancha'!AV33</f>
        <v>167.08</v>
      </c>
      <c r="F67" s="50">
        <f>D67*E67</f>
        <v>41031.506399999998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16807.299473674924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54899.979988746883</v>
      </c>
      <c r="E70" s="301">
        <v>0.12</v>
      </c>
      <c r="F70" s="50">
        <f>D70*E70</f>
        <v>6587.9975986496256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61487.977587396512</v>
      </c>
      <c r="E71" s="301">
        <v>0.16619999999999999</v>
      </c>
      <c r="F71" s="50">
        <f>D71*E71</f>
        <v>10219.3018750253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71707.279462421808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224.76709499999996</v>
      </c>
      <c r="E74" s="321">
        <f>'Custo Gerencial LOTE 05'!$G$81</f>
        <v>93.31</v>
      </c>
      <c r="F74" s="309">
        <f>D74*E74</f>
        <v>20973.017634449996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92680.2970968718</v>
      </c>
      <c r="F76" s="315">
        <f>E76*D76</f>
        <v>92680.2970968718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340" t="s">
        <v>255</v>
      </c>
      <c r="B78" s="685" t="s">
        <v>422</v>
      </c>
      <c r="C78" s="685"/>
      <c r="D78" s="685"/>
      <c r="E78" s="685"/>
      <c r="F78" s="686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66945.711749384223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14841.804935037213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121.74628499999999</v>
      </c>
      <c r="E82" s="63">
        <f>'Planilha base'!$F$14/176</f>
        <v>76.31948863636363</v>
      </c>
      <c r="F82" s="50">
        <f>D82*E82</f>
        <v>9291.6142145769863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102.32499999999999</v>
      </c>
      <c r="E83" s="63">
        <f>'Planilha base'!$F$16/176</f>
        <v>49.121022727272724</v>
      </c>
      <c r="F83" s="50">
        <f>D83*E83</f>
        <v>5026.3086505681813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48.706699999999991</v>
      </c>
      <c r="E84" s="63">
        <f>'Planilha base'!$F$27/176</f>
        <v>10.755852272727273</v>
      </c>
      <c r="F84" s="50">
        <f>D84*E84</f>
        <v>523.88206989204537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16925.594347916438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14841.804935037213</v>
      </c>
      <c r="E87" s="301">
        <v>0.84040000000000004</v>
      </c>
      <c r="F87" s="50">
        <f>D87*E87</f>
        <v>12473.052867405275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14841.804935037213</v>
      </c>
      <c r="E88" s="301">
        <v>0.3</v>
      </c>
      <c r="F88" s="50">
        <f>D88*E88</f>
        <v>4452.5414805111641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9725.3986860805635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31767.399282953651</v>
      </c>
      <c r="E91" s="301">
        <v>0.12</v>
      </c>
      <c r="F91" s="50">
        <f>D91*E91</f>
        <v>3812.0879139544381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35579.487196908092</v>
      </c>
      <c r="E92" s="301">
        <v>0.16619999999999999</v>
      </c>
      <c r="F92" s="50">
        <f>D92*E92</f>
        <v>5913.3107721261249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41492.797969034218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272.777985</v>
      </c>
      <c r="E95" s="321">
        <f>'Custo Gerencial LOTE 05'!$G$81</f>
        <v>93.31</v>
      </c>
      <c r="F95" s="309">
        <f>D95*E95</f>
        <v>25452.913780350002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66945.711749384223</v>
      </c>
      <c r="F97" s="315">
        <f>E97*D97</f>
        <v>66945.711749384223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340" t="s">
        <v>258</v>
      </c>
      <c r="B99" s="685" t="s">
        <v>424</v>
      </c>
      <c r="C99" s="685"/>
      <c r="D99" s="685"/>
      <c r="E99" s="685"/>
      <c r="F99" s="686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60158.229106429288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11765.733422117893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121.74628499999999</v>
      </c>
      <c r="E103" s="63">
        <f>'Planilha base'!$F$14/176</f>
        <v>76.31948863636363</v>
      </c>
      <c r="F103" s="50">
        <f>D103*E103</f>
        <v>9291.6142145769863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121.74628499999999</v>
      </c>
      <c r="E104" s="69">
        <f>'Planilha base'!$F$22/176</f>
        <v>16.018863636363637</v>
      </c>
      <c r="F104" s="50">
        <f>D104*E104</f>
        <v>1950.2371376488634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48.706699999999991</v>
      </c>
      <c r="E105" s="63">
        <f>'Planilha base'!$F$27/176</f>
        <v>10.755852272727273</v>
      </c>
      <c r="F105" s="50">
        <f>D105*E105</f>
        <v>523.88206989204537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13417.642394583247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11765.733422117893</v>
      </c>
      <c r="E108" s="301">
        <v>0.84040000000000004</v>
      </c>
      <c r="F108" s="50">
        <f>D108*E108</f>
        <v>9887.9223679478782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11765.733422117893</v>
      </c>
      <c r="E109" s="301">
        <v>0.3</v>
      </c>
      <c r="F109" s="50">
        <f>D109*E109</f>
        <v>3529.720026635368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7709.739406028154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25183.37581670114</v>
      </c>
      <c r="E112" s="301">
        <v>0.12</v>
      </c>
      <c r="F112" s="50">
        <f>D112*E112</f>
        <v>3022.0050980041369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28205.380914705278</v>
      </c>
      <c r="E113" s="301">
        <v>0.16619999999999999</v>
      </c>
      <c r="F113" s="50">
        <f>D113*E113</f>
        <v>4687.7343080240171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32893.115222729291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292.19926999999996</v>
      </c>
      <c r="E116" s="321">
        <f>'Custo Gerencial LOTE 05'!$G$81</f>
        <v>93.31</v>
      </c>
      <c r="F116" s="309">
        <f>D116*E116</f>
        <v>27265.113883699996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60158.229106429288</v>
      </c>
      <c r="F118" s="315">
        <f>E118*D118</f>
        <v>60158.229106429288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340" t="s">
        <v>261</v>
      </c>
      <c r="B120" s="685" t="s">
        <v>524</v>
      </c>
      <c r="C120" s="685"/>
      <c r="D120" s="685"/>
      <c r="E120" s="685"/>
      <c r="F120" s="686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248760.91330495063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46904.746517499996</v>
      </c>
    </row>
    <row r="124" spans="1:8" ht="19.899999999999999" customHeight="1" x14ac:dyDescent="0.2">
      <c r="A124" s="291" t="s">
        <v>121</v>
      </c>
      <c r="B124" s="55" t="s">
        <v>5</v>
      </c>
      <c r="C124" s="53" t="s">
        <v>397</v>
      </c>
      <c r="D124" s="480">
        <f>(H124*F1)/K2</f>
        <v>360.18399999999997</v>
      </c>
      <c r="E124" s="63">
        <f>'Planilha base'!$F$15/176</f>
        <v>59.706590909090913</v>
      </c>
      <c r="F124" s="50">
        <f>D124*E124</f>
        <v>21505.35874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360.18399999999997</v>
      </c>
      <c r="E125" s="63">
        <f>'Planilha base'!$F$16/176</f>
        <v>49.121022727272724</v>
      </c>
      <c r="F125" s="50">
        <f>D125*E125</f>
        <v>17692.606449999996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360.18399999999997</v>
      </c>
      <c r="E126" s="69">
        <f>'Planilha base'!$F$22/176</f>
        <v>16.018863636363637</v>
      </c>
      <c r="F126" s="50">
        <f>D126*E126</f>
        <v>5769.7383799999998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180.09199999999998</v>
      </c>
      <c r="E127" s="63">
        <f>'Planilha base'!$F$27/176</f>
        <v>10.755852272727273</v>
      </c>
      <c r="F127" s="50">
        <f>D127*E127</f>
        <v>1937.0429474999999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53490.172928556996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46904.746517499996</v>
      </c>
      <c r="E130" s="301">
        <v>0.84040000000000004</v>
      </c>
      <c r="F130" s="50">
        <f>D130*E130</f>
        <v>39418.748973306996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46904.746517499996</v>
      </c>
      <c r="E131" s="301">
        <v>0.3</v>
      </c>
      <c r="F131" s="50">
        <f>D131*E131</f>
        <v>14071.423955249998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30735.302218893674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100394.919446057</v>
      </c>
      <c r="E134" s="301">
        <v>0.12</v>
      </c>
      <c r="F134" s="50">
        <f>D134*E134</f>
        <v>12047.390333526839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112442.30977958384</v>
      </c>
      <c r="E135" s="301">
        <v>0.16619999999999999</v>
      </c>
      <c r="F135" s="50">
        <f>D135*E135</f>
        <v>18687.911885366833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131130.22166495066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1260.6439999999998</v>
      </c>
      <c r="E138" s="321">
        <f>'Custo Gerencial LOTE 05'!$G$81</f>
        <v>93.31</v>
      </c>
      <c r="F138" s="309">
        <f>D138*E138</f>
        <v>117630.69163999998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248760.91330495063</v>
      </c>
      <c r="F140" s="315">
        <f>E140*D140</f>
        <v>2985130.9596594078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443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69" t="s">
        <v>490</v>
      </c>
      <c r="F143" s="670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844777.36534981418</v>
      </c>
      <c r="F145" s="94">
        <f t="shared" ref="F145:F150" si="0">ROUND(D145*E145,2)</f>
        <v>844777.37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131637.53734405889</v>
      </c>
      <c r="F146" s="94">
        <f t="shared" si="0"/>
        <v>131637.54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92680.2970968718</v>
      </c>
      <c r="F147" s="94">
        <f t="shared" si="0"/>
        <v>92680.3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66945.711749384223</v>
      </c>
      <c r="F148" s="94">
        <f t="shared" si="0"/>
        <v>66945.710000000006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60158.229106429288</v>
      </c>
      <c r="F149" s="94">
        <f t="shared" si="0"/>
        <v>60158.23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248760.91330495063</v>
      </c>
      <c r="F150" s="389">
        <f t="shared" si="0"/>
        <v>2985130.96</v>
      </c>
      <c r="I150" s="391"/>
      <c r="J150" s="391"/>
      <c r="K150" s="391"/>
      <c r="L150" s="391"/>
    </row>
    <row r="151" spans="1:12" ht="19.899999999999999" customHeight="1" thickBot="1" x14ac:dyDescent="0.25">
      <c r="D151" s="390"/>
      <c r="E151" s="552" t="s">
        <v>195</v>
      </c>
      <c r="F151" s="553">
        <f>ROUND(SUM(F145:F150),2)</f>
        <v>4181330.11</v>
      </c>
      <c r="I151" s="391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E143:F143"/>
    <mergeCell ref="D143:D144"/>
    <mergeCell ref="A143:A144"/>
    <mergeCell ref="B143:C144"/>
    <mergeCell ref="B120:F120"/>
    <mergeCell ref="A142:F142"/>
    <mergeCell ref="J3:O3"/>
    <mergeCell ref="B30:F30"/>
    <mergeCell ref="B54:F54"/>
    <mergeCell ref="B78:F78"/>
    <mergeCell ref="B99:F9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2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82"/>
  <sheetViews>
    <sheetView showGridLines="0" topLeftCell="A31" zoomScale="85" zoomScaleNormal="85" zoomScaleSheetLayoutView="85" zoomScalePageLayoutView="70" workbookViewId="0">
      <selection activeCell="E56" sqref="E56:F56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11" width="9.5703125" style="18" customWidth="1"/>
    <col min="12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89" t="s">
        <v>444</v>
      </c>
      <c r="B1" s="690"/>
      <c r="C1" s="690"/>
      <c r="D1" s="690"/>
      <c r="E1" s="690"/>
      <c r="F1" s="690"/>
      <c r="G1" s="691"/>
    </row>
    <row r="2" spans="1:10" ht="78.75" customHeight="1" thickBot="1" x14ac:dyDescent="0.3">
      <c r="A2" s="640" t="s">
        <v>445</v>
      </c>
      <c r="B2" s="641"/>
      <c r="C2" s="692" t="s">
        <v>446</v>
      </c>
      <c r="D2" s="693"/>
      <c r="E2" s="694"/>
      <c r="F2" s="695" t="s">
        <v>99</v>
      </c>
      <c r="G2" s="696"/>
      <c r="J2" s="19"/>
    </row>
    <row r="3" spans="1:10" ht="16.5" thickBot="1" x14ac:dyDescent="0.3">
      <c r="A3" s="642" t="s">
        <v>100</v>
      </c>
      <c r="B3" s="643"/>
      <c r="C3" s="638">
        <f>SUM(Resumo!G20:G21)</f>
        <v>1156.5</v>
      </c>
      <c r="D3" s="638"/>
      <c r="E3" s="639"/>
      <c r="F3" s="697"/>
      <c r="G3" s="698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341" t="s">
        <v>101</v>
      </c>
      <c r="B6" s="342" t="s">
        <v>102</v>
      </c>
      <c r="C6" s="343" t="s">
        <v>103</v>
      </c>
      <c r="D6" s="343" t="s">
        <v>104</v>
      </c>
      <c r="E6" s="344" t="s">
        <v>105</v>
      </c>
      <c r="F6" s="344" t="s">
        <v>106</v>
      </c>
      <c r="G6" s="345" t="s">
        <v>107</v>
      </c>
      <c r="H6" s="34"/>
      <c r="I6" s="3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133382.67080986436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51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51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/>
      <c r="F14" s="63">
        <f>VLOOKUP(A14,'Planilha base'!$C$11:$F$27,4)</f>
        <v>13432.23</v>
      </c>
      <c r="G14" s="467">
        <f>E14*F14</f>
        <v>0</v>
      </c>
      <c r="I14" s="51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/>
      <c r="F15" s="63">
        <f>VLOOKUP(A15,'Planilha base'!$C$11:$F$27,4)</f>
        <v>10508.36</v>
      </c>
      <c r="G15" s="467">
        <f>E15*F15</f>
        <v>0</v>
      </c>
      <c r="I15" s="51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/>
      <c r="F16" s="63">
        <f>VLOOKUP(A16,'Planilha base'!$C$11:$F$27,4)</f>
        <v>8645.2999999999993</v>
      </c>
      <c r="G16" s="467">
        <f>E16*F16</f>
        <v>0</v>
      </c>
      <c r="I16" s="51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51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0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0</v>
      </c>
      <c r="F20" s="63">
        <f>VLOOKUP(A20,'Planilha base'!$C$11:$F$27,4)</f>
        <v>4644.72</v>
      </c>
      <c r="G20" s="467">
        <f>E20*F20</f>
        <v>0</v>
      </c>
      <c r="I20" s="51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51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51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51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51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51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27195.269743333338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32165.4</v>
      </c>
      <c r="F31" s="301">
        <v>0.84040000000000004</v>
      </c>
      <c r="G31" s="467">
        <f>E31*F31</f>
        <v>27031.802160000003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1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9894.8213749999995</v>
      </c>
      <c r="J33" s="46"/>
    </row>
    <row r="34" spans="1:11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32982.737916666665</v>
      </c>
      <c r="F34" s="301">
        <v>0.3</v>
      </c>
      <c r="G34" s="467">
        <f>E34*F34</f>
        <v>9894.8213749999995</v>
      </c>
      <c r="J34" s="46"/>
    </row>
    <row r="35" spans="1:11" x14ac:dyDescent="0.25">
      <c r="A35" s="37"/>
      <c r="B35" s="38"/>
      <c r="C35" s="39"/>
      <c r="D35" s="57"/>
      <c r="E35" s="44"/>
      <c r="F35" s="474"/>
      <c r="G35" s="469"/>
      <c r="J35" s="46"/>
    </row>
    <row r="36" spans="1:11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6234.54</v>
      </c>
      <c r="I36" s="61"/>
      <c r="J36" s="46"/>
      <c r="K36" s="61"/>
    </row>
    <row r="37" spans="1:11" x14ac:dyDescent="0.25">
      <c r="A37" s="47"/>
      <c r="B37" s="48" t="s">
        <v>153</v>
      </c>
      <c r="C37" s="55" t="s">
        <v>154</v>
      </c>
      <c r="D37" s="53" t="s">
        <v>155</v>
      </c>
      <c r="E37" s="44">
        <v>2</v>
      </c>
      <c r="F37" s="63">
        <f>'Tabela DNIT-Consult'!$L$23</f>
        <v>3117.27</v>
      </c>
      <c r="G37" s="467">
        <f>E37*F37</f>
        <v>6234.54</v>
      </c>
      <c r="I37" s="51"/>
      <c r="J37" s="46"/>
    </row>
    <row r="38" spans="1:11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51"/>
      <c r="J38" s="46"/>
    </row>
    <row r="39" spans="1:11" x14ac:dyDescent="0.25">
      <c r="A39" s="47"/>
      <c r="B39" s="48"/>
      <c r="C39" s="62"/>
      <c r="D39" s="57"/>
      <c r="E39" s="44"/>
      <c r="F39" s="63"/>
      <c r="G39" s="469"/>
      <c r="J39" s="46"/>
    </row>
    <row r="40" spans="1:11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236.48333333333332</v>
      </c>
      <c r="H40" s="65"/>
      <c r="I40" s="364"/>
      <c r="J40" s="46"/>
    </row>
    <row r="41" spans="1:11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366"/>
      <c r="J41" s="46"/>
    </row>
    <row r="42" spans="1:11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366"/>
      <c r="J42" s="46"/>
    </row>
    <row r="43" spans="1:11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368"/>
      <c r="J43" s="46"/>
    </row>
    <row r="44" spans="1:11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368"/>
      <c r="J44" s="46"/>
    </row>
    <row r="45" spans="1:11" x14ac:dyDescent="0.25">
      <c r="A45" s="47"/>
      <c r="B45" s="48" t="s">
        <v>167</v>
      </c>
      <c r="C45" s="66" t="s">
        <v>168</v>
      </c>
      <c r="D45" s="53" t="s">
        <v>155</v>
      </c>
      <c r="E45" s="44">
        <v>4</v>
      </c>
      <c r="F45" s="63">
        <f>375/60</f>
        <v>6.25</v>
      </c>
      <c r="G45" s="467">
        <f>E45*F45</f>
        <v>25</v>
      </c>
      <c r="I45" s="368"/>
      <c r="J45" s="46"/>
    </row>
    <row r="46" spans="1:11" x14ac:dyDescent="0.25">
      <c r="A46" s="47"/>
      <c r="B46" s="48"/>
      <c r="C46" s="68"/>
      <c r="D46" s="57"/>
      <c r="E46" s="69"/>
      <c r="F46" s="63"/>
      <c r="G46" s="469"/>
      <c r="I46" s="368"/>
      <c r="J46" s="46"/>
    </row>
    <row r="47" spans="1:11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1500</v>
      </c>
      <c r="I47" s="368"/>
      <c r="J47" s="46"/>
    </row>
    <row r="48" spans="1:11" x14ac:dyDescent="0.25">
      <c r="A48" s="47"/>
      <c r="B48" s="48" t="s">
        <v>170</v>
      </c>
      <c r="C48" s="55" t="s">
        <v>169</v>
      </c>
      <c r="D48" s="53" t="s">
        <v>171</v>
      </c>
      <c r="E48" s="44">
        <v>1000</v>
      </c>
      <c r="F48" s="63">
        <f>'Planilha base'!F47</f>
        <v>1.5</v>
      </c>
      <c r="G48" s="467">
        <f>E48*F48</f>
        <v>1500</v>
      </c>
      <c r="I48" s="368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I49" s="364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I50" s="364"/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366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366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366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21573</v>
      </c>
      <c r="I54" s="366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SUM(Diárias!H5:H24)</f>
        <v>90</v>
      </c>
      <c r="F55" s="63">
        <f>'Planilha base'!G77</f>
        <v>239.7</v>
      </c>
      <c r="G55" s="467">
        <f>E55*F55</f>
        <v>21573</v>
      </c>
      <c r="I55" s="366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368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I57" s="364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31263.248441531039</v>
      </c>
      <c r="I58" s="364"/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102119.42236833334</v>
      </c>
      <c r="F59" s="301">
        <v>0.12</v>
      </c>
      <c r="G59" s="467">
        <f>E59*F59</f>
        <v>12254.3306842</v>
      </c>
      <c r="I59" s="364"/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114373.75305253334</v>
      </c>
      <c r="F60" s="301">
        <v>0.16619999999999999</v>
      </c>
      <c r="G60" s="467">
        <f>E60*F60</f>
        <v>19008.917757331041</v>
      </c>
      <c r="I60" s="364"/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I61" s="364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133382.67080986436</v>
      </c>
      <c r="H62" s="77"/>
      <c r="I62" s="369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1600592.0497183723</v>
      </c>
      <c r="H63" s="79"/>
      <c r="I63" s="37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99" t="s">
        <v>191</v>
      </c>
      <c r="B66" s="699"/>
      <c r="C66" s="699"/>
      <c r="D66" s="699"/>
      <c r="E66" s="699"/>
      <c r="F66" s="699"/>
      <c r="G66" s="699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700" t="s">
        <v>101</v>
      </c>
      <c r="B68" s="701"/>
      <c r="C68" s="346" t="s">
        <v>103</v>
      </c>
      <c r="D68" s="347"/>
      <c r="E68" s="348" t="s">
        <v>192</v>
      </c>
      <c r="F68" s="348" t="s">
        <v>193</v>
      </c>
      <c r="G68" s="349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06'!D28</f>
        <v>1</v>
      </c>
      <c r="F69" s="95">
        <f>'Relatorios LOTE 06'!D26</f>
        <v>763.29</v>
      </c>
      <c r="G69" s="94">
        <f t="shared" ref="G69:G74" si="0">F69*E69</f>
        <v>763.29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06'!D52</f>
        <v>1</v>
      </c>
      <c r="F70" s="95">
        <f>'Relatorios LOTE 06'!D50</f>
        <v>416.34000000000003</v>
      </c>
      <c r="G70" s="94">
        <f t="shared" si="0"/>
        <v>416.34000000000003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06'!D76</f>
        <v>1</v>
      </c>
      <c r="F71" s="95">
        <f>'Relatorios LOTE 06'!D74</f>
        <v>317.54598749999997</v>
      </c>
      <c r="G71" s="94">
        <f t="shared" si="0"/>
        <v>317.54598749999997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06'!D97</f>
        <v>1</v>
      </c>
      <c r="F72" s="95">
        <f>'Relatorios LOTE 06'!D95</f>
        <v>385.37471250000004</v>
      </c>
      <c r="G72" s="94">
        <f t="shared" si="0"/>
        <v>385.37471250000004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06'!D118</f>
        <v>1</v>
      </c>
      <c r="F73" s="95">
        <f>'Relatorios LOTE 06'!D116</f>
        <v>412.81267500000001</v>
      </c>
      <c r="G73" s="94">
        <f t="shared" si="0"/>
        <v>412.81267500000001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06'!D140</f>
        <v>12</v>
      </c>
      <c r="F74" s="95">
        <f>'Relatorios LOTE 06'!D138</f>
        <v>1781.01</v>
      </c>
      <c r="G74" s="94">
        <f t="shared" si="0"/>
        <v>21372.12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23667.483375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1600592.0497183723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23667.483375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105">
        <f>ROUND(G79/G80,2)</f>
        <v>67.63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53"/>
  <sheetViews>
    <sheetView showGridLines="0" zoomScale="85" zoomScaleNormal="85" zoomScaleSheetLayoutView="85" zoomScalePageLayoutView="85" workbookViewId="0">
      <pane ySplit="1" topLeftCell="A137" activePane="bottomLeft" state="frozen"/>
      <selection activeCell="B121" sqref="B121"/>
      <selection pane="bottomLeft" activeCell="F145" sqref="F145:F150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7" width="12.28515625" style="276" bestFit="1" customWidth="1"/>
    <col min="8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704" t="s">
        <v>382</v>
      </c>
      <c r="B1" s="705"/>
      <c r="C1" s="706" t="str">
        <f>'Custo Gerencial LOTE 06'!C2:E2</f>
        <v>BR-116/324/526/528 BA (VIA BAHIA)
BR-101ES (ECO 101)</v>
      </c>
      <c r="D1" s="706"/>
      <c r="E1" s="706"/>
      <c r="F1" s="350">
        <f>'Custo Gerencial LOTE 06'!C3</f>
        <v>1156.5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351" t="s">
        <v>247</v>
      </c>
      <c r="B3" s="702" t="s">
        <v>384</v>
      </c>
      <c r="C3" s="702"/>
      <c r="D3" s="702"/>
      <c r="E3" s="702"/>
      <c r="F3" s="703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796239.06041380332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34652.440799999997</v>
      </c>
      <c r="J6" s="285"/>
      <c r="K6" s="285"/>
      <c r="L6" s="285"/>
      <c r="M6" s="290">
        <f>N6*O6</f>
        <v>176</v>
      </c>
      <c r="N6" s="285">
        <v>22</v>
      </c>
      <c r="O6" s="285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($F$1*$H$7)/$K$2</f>
        <v>254.43</v>
      </c>
      <c r="E7" s="63">
        <f>'Tabela DNIT-Consult'!$L$9/176</f>
        <v>76.31948863636363</v>
      </c>
      <c r="F7" s="50">
        <f>D7*E7</f>
        <v>19417.967493749999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($F$1*$H$7)/$K$2</f>
        <v>254.43</v>
      </c>
      <c r="E8" s="63">
        <f>'Planilha base'!$F$16/176</f>
        <v>49.121022727272724</v>
      </c>
      <c r="F8" s="50">
        <f>D8*E8</f>
        <v>12497.861812499999</v>
      </c>
      <c r="L8" s="352"/>
      <c r="M8" s="353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($F$1*$H$7)/$K$2</f>
        <v>254.43</v>
      </c>
      <c r="E9" s="63">
        <f>'Planilha base'!$F$27/176</f>
        <v>10.755852272727273</v>
      </c>
      <c r="F9" s="50">
        <f>D9*E9</f>
        <v>2736.6114937500001</v>
      </c>
      <c r="L9" s="354"/>
      <c r="M9" s="319"/>
    </row>
    <row r="10" spans="1:15" ht="19.899999999999999" customHeight="1" x14ac:dyDescent="0.2">
      <c r="A10" s="291"/>
      <c r="B10" s="55"/>
      <c r="C10" s="53"/>
      <c r="D10" s="297"/>
      <c r="E10" s="63"/>
      <c r="F10" s="50"/>
      <c r="L10" s="319"/>
      <c r="M10" s="319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39517.643488319998</v>
      </c>
      <c r="L11" s="319"/>
      <c r="M11" s="355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34652.440799999997</v>
      </c>
      <c r="E12" s="301">
        <v>0.84040000000000004</v>
      </c>
      <c r="F12" s="50">
        <f>D12*E12</f>
        <v>29121.911248319997</v>
      </c>
      <c r="L12" s="319"/>
      <c r="M12" s="356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34652.440799999997</v>
      </c>
      <c r="E13" s="301">
        <v>0.3</v>
      </c>
      <c r="F13" s="50">
        <f>D13*E13</f>
        <v>10395.732239999999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495918.48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Rolamento'!H20:H21)</f>
        <v>965.78400000000011</v>
      </c>
      <c r="E16" s="63">
        <f>'Cotações FWD,IRI,LVC e Mancha'!AT19</f>
        <v>238</v>
      </c>
      <c r="F16" s="50">
        <f>D16*E16</f>
        <v>229856.59200000003</v>
      </c>
    </row>
    <row r="17" spans="1:8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Rolamento'!I20:I21)</f>
        <v>2414.46</v>
      </c>
      <c r="E17" s="63">
        <f>'Cotações FWD,IRI,LVC e Mancha'!AU19</f>
        <v>64</v>
      </c>
      <c r="F17" s="50">
        <f>D17*E17</f>
        <v>154525.44</v>
      </c>
      <c r="H17" s="328"/>
    </row>
    <row r="18" spans="1:8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Rolamento'!J20:J21)</f>
        <v>965.78400000000011</v>
      </c>
      <c r="E18" s="63">
        <f>'Cotações FWD,IRI,LVC e Mancha'!AV19</f>
        <v>72</v>
      </c>
      <c r="F18" s="50">
        <f>D18*E18</f>
        <v>69536.448000000004</v>
      </c>
    </row>
    <row r="19" spans="1:8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Rolamento'!K20:K21)</f>
        <v>175</v>
      </c>
      <c r="E19" s="63">
        <f>'Cotações FWD,IRI,LVC e Mancha'!AW19</f>
        <v>240</v>
      </c>
      <c r="F19" s="50">
        <f>D19*E19</f>
        <v>42000</v>
      </c>
    </row>
    <row r="20" spans="1:8" ht="19.899999999999999" customHeight="1" x14ac:dyDescent="0.2">
      <c r="A20" s="291"/>
      <c r="B20" s="55"/>
      <c r="C20" s="53"/>
      <c r="D20" s="297"/>
      <c r="E20" s="63"/>
      <c r="F20" s="50"/>
    </row>
    <row r="21" spans="1:8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174529.19342548345</v>
      </c>
    </row>
    <row r="22" spans="1:8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570088.56428832002</v>
      </c>
      <c r="E22" s="301">
        <v>0.12</v>
      </c>
      <c r="F22" s="50">
        <f>D22*E22</f>
        <v>68410.627714598406</v>
      </c>
    </row>
    <row r="23" spans="1:8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638499.19200291845</v>
      </c>
      <c r="E23" s="301">
        <v>0.16619999999999999</v>
      </c>
      <c r="F23" s="50">
        <f>D23*E23</f>
        <v>106118.56571088504</v>
      </c>
    </row>
    <row r="24" spans="1:8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744617.75771380332</v>
      </c>
    </row>
    <row r="25" spans="1:8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8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763.29</v>
      </c>
      <c r="E26" s="308">
        <f>'Custo Gerencial LOTE 06'!$G$81</f>
        <v>67.63</v>
      </c>
      <c r="F26" s="309">
        <f>D26*E26</f>
        <v>51621.302699999993</v>
      </c>
    </row>
    <row r="27" spans="1:8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8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796239.06041380332</v>
      </c>
      <c r="F28" s="315">
        <f>E28*D28</f>
        <v>796239.06041380332</v>
      </c>
    </row>
    <row r="29" spans="1:8" ht="19.899999999999999" customHeight="1" thickBot="1" x14ac:dyDescent="0.25">
      <c r="A29" s="317"/>
      <c r="B29" s="317"/>
      <c r="C29" s="317"/>
      <c r="D29" s="317"/>
      <c r="E29" s="317"/>
      <c r="F29" s="317"/>
    </row>
    <row r="30" spans="1:8" ht="19.899999999999999" customHeight="1" x14ac:dyDescent="0.2">
      <c r="A30" s="351" t="s">
        <v>249</v>
      </c>
      <c r="B30" s="702" t="s">
        <v>420</v>
      </c>
      <c r="C30" s="702"/>
      <c r="D30" s="702"/>
      <c r="E30" s="702"/>
      <c r="F30" s="703"/>
    </row>
    <row r="31" spans="1:8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8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175282.99414864907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12001.875760227274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138.78</v>
      </c>
      <c r="E34" s="69">
        <f>'Planilha base'!$F$15/176</f>
        <v>59.706590909090913</v>
      </c>
      <c r="F34" s="482">
        <f>D34*E34</f>
        <v>8286.0806863636371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138.78</v>
      </c>
      <c r="E35" s="69">
        <f>'Planilha base'!$F$22/176</f>
        <v>16.018863636363637</v>
      </c>
      <c r="F35" s="482">
        <f>D35*E35</f>
        <v>2223.0978954545458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138.78</v>
      </c>
      <c r="E36" s="63">
        <f>'Planilha base'!$F$27/176</f>
        <v>10.755852272727273</v>
      </c>
      <c r="F36" s="482">
        <f>D36*E36</f>
        <v>1492.6971784090908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13686.939116963184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12001.875760227274</v>
      </c>
      <c r="E39" s="301">
        <v>0.84040000000000004</v>
      </c>
      <c r="F39" s="482">
        <f>D39*E39</f>
        <v>10086.376388895002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12001.875760227274</v>
      </c>
      <c r="E40" s="301">
        <v>0.3</v>
      </c>
      <c r="F40" s="482">
        <f>D40*E40</f>
        <v>3600.5627280681824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86952.609000000011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520.42500000000007</v>
      </c>
      <c r="E43" s="485">
        <f>'Cotações FWD,IRI,LVC e Mancha'!AV32</f>
        <v>167.08</v>
      </c>
      <c r="F43" s="482">
        <f>D43*E43</f>
        <v>86952.609000000011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34484.496071458598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112641.42387719048</v>
      </c>
      <c r="E46" s="301">
        <v>0.12</v>
      </c>
      <c r="F46" s="482">
        <f>D46*E46</f>
        <v>13516.970865262856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126158.39474245334</v>
      </c>
      <c r="E47" s="301">
        <v>0.16619999999999999</v>
      </c>
      <c r="F47" s="50">
        <f>D47*E47</f>
        <v>20967.525206195744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147125.91994864907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416.34000000000003</v>
      </c>
      <c r="E50" s="321">
        <f>'Custo Gerencial LOTE 06'!$G$81</f>
        <v>67.63</v>
      </c>
      <c r="F50" s="309">
        <f>D50*E50</f>
        <v>28157.074199999999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175282.99414864907</v>
      </c>
      <c r="F52" s="315">
        <f>E52*D52</f>
        <v>175282.99414864907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351" t="s">
        <v>419</v>
      </c>
      <c r="B54" s="702" t="s">
        <v>421</v>
      </c>
      <c r="C54" s="702"/>
      <c r="D54" s="702"/>
      <c r="E54" s="702"/>
      <c r="F54" s="703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122782.09579708631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9153.9306579566764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105.84866249999999</v>
      </c>
      <c r="E58" s="69">
        <f>'Planilha base'!$F$15/176</f>
        <v>59.706590909090913</v>
      </c>
      <c r="F58" s="50">
        <f>D58*E58</f>
        <v>6319.862790161932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105.84866249999999</v>
      </c>
      <c r="E59" s="69">
        <f>'Planilha base'!$F$22/176</f>
        <v>16.018863636363637</v>
      </c>
      <c r="F59" s="50">
        <f>D59*E59</f>
        <v>1695.5752906789771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105.84866249999999</v>
      </c>
      <c r="E60" s="63">
        <f>'Planilha base'!$F$27/176</f>
        <v>10.755852272727273</v>
      </c>
      <c r="F60" s="50">
        <f>D60*E60</f>
        <v>1138.4925771157668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10439.142522333794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9153.9306579566764</v>
      </c>
      <c r="E63" s="301">
        <v>0.84040000000000004</v>
      </c>
      <c r="F63" s="50">
        <f>D63*E63</f>
        <v>7692.9633249467915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9153.9306579566764</v>
      </c>
      <c r="E64" s="301">
        <v>0.3</v>
      </c>
      <c r="F64" s="50">
        <f>D64*E64</f>
        <v>2746.1791973870027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57968.406000000003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346.95</v>
      </c>
      <c r="E67" s="485">
        <f>'Cotações FWD,IRI,LVC e Mancha'!AV33</f>
        <v>167.08</v>
      </c>
      <c r="F67" s="50">
        <f>D67*E67</f>
        <v>57968.406000000003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23744.981482170846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77561.47918029048</v>
      </c>
      <c r="E70" s="301">
        <v>0.12</v>
      </c>
      <c r="F70" s="50">
        <f>D70*E70</f>
        <v>9307.3775016348573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86868.856681925332</v>
      </c>
      <c r="E71" s="301">
        <v>0.16619999999999999</v>
      </c>
      <c r="F71" s="50">
        <f>D71*E71</f>
        <v>14437.603980535989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101306.46066246131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317.54598749999997</v>
      </c>
      <c r="E74" s="321">
        <f>'Custo Gerencial LOTE 06'!$G$81</f>
        <v>67.63</v>
      </c>
      <c r="F74" s="309">
        <f>D74*E74</f>
        <v>21475.635134624998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122782.09579708631</v>
      </c>
      <c r="F76" s="315">
        <f>E76*D76</f>
        <v>122782.09579708631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351" t="s">
        <v>255</v>
      </c>
      <c r="B78" s="702" t="s">
        <v>422</v>
      </c>
      <c r="C78" s="702"/>
      <c r="D78" s="702"/>
      <c r="E78" s="702"/>
      <c r="F78" s="703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84683.000346795336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20968.174208857243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172.0004625</v>
      </c>
      <c r="E82" s="63">
        <f>'Planilha base'!$F$14/176</f>
        <v>76.31948863636363</v>
      </c>
      <c r="F82" s="50">
        <f>D82*E82</f>
        <v>13126.987343218039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144.5625</v>
      </c>
      <c r="E83" s="63">
        <f>'Planilha base'!$F$16/176</f>
        <v>49.121022727272724</v>
      </c>
      <c r="F83" s="50">
        <f>D83*E83</f>
        <v>7101.0578480113627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68.811750000000004</v>
      </c>
      <c r="E84" s="63">
        <f>'Planilha base'!$F$27/176</f>
        <v>10.755852272727273</v>
      </c>
      <c r="F84" s="50">
        <f>D84*E84</f>
        <v>740.12901762784099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23912.105867780803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20968.174208857243</v>
      </c>
      <c r="E87" s="301">
        <v>0.84040000000000004</v>
      </c>
      <c r="F87" s="50">
        <f>D87*E87</f>
        <v>17621.653605123629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20968.174208857243</v>
      </c>
      <c r="E88" s="301">
        <v>0.3</v>
      </c>
      <c r="F88" s="50">
        <f>D88*E88</f>
        <v>6290.4522626571725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13739.828463782276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44880.280076638046</v>
      </c>
      <c r="E91" s="301">
        <v>0.12</v>
      </c>
      <c r="F91" s="50">
        <f>D91*E91</f>
        <v>5385.633609196565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50265.91368583461</v>
      </c>
      <c r="E92" s="301">
        <v>0.16619999999999999</v>
      </c>
      <c r="F92" s="50">
        <f>D92*E92</f>
        <v>8354.1948545857122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58620.108540420326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385.37471250000004</v>
      </c>
      <c r="E95" s="321">
        <f>'Custo Gerencial LOTE 06'!$G$81</f>
        <v>67.63</v>
      </c>
      <c r="F95" s="309">
        <f>D95*E95</f>
        <v>26062.891806375002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84683.000346795336</v>
      </c>
      <c r="F97" s="315">
        <f>E97*D97</f>
        <v>84683.000346795336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351" t="s">
        <v>258</v>
      </c>
      <c r="B99" s="702" t="s">
        <v>424</v>
      </c>
      <c r="C99" s="702"/>
      <c r="D99" s="702"/>
      <c r="E99" s="702"/>
      <c r="F99" s="703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74389.187903490209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16622.368315024858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172.0004625</v>
      </c>
      <c r="E103" s="63">
        <f>'Planilha base'!$F$14/176</f>
        <v>76.31948863636363</v>
      </c>
      <c r="F103" s="50">
        <f>D103*E103</f>
        <v>13126.987343218039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172.0004625</v>
      </c>
      <c r="E104" s="69">
        <f>'Planilha base'!$F$22/176</f>
        <v>16.018863636363637</v>
      </c>
      <c r="F104" s="50">
        <f>D104*E104</f>
        <v>2755.2519541789775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68.811750000000004</v>
      </c>
      <c r="E105" s="63">
        <f>'Planilha base'!$F$27/176</f>
        <v>10.755852272727273</v>
      </c>
      <c r="F105" s="50">
        <f>D105*E105</f>
        <v>740.12901762784099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18956.148826454348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16622.368315024858</v>
      </c>
      <c r="E108" s="301">
        <v>0.84040000000000004</v>
      </c>
      <c r="F108" s="50">
        <f>D108*E108</f>
        <v>13969.438331946891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16622.368315024858</v>
      </c>
      <c r="E109" s="301">
        <v>0.3</v>
      </c>
      <c r="F109" s="50">
        <f>D109*E109</f>
        <v>4986.710494507457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10892.149551761009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35578.517141479206</v>
      </c>
      <c r="E112" s="301">
        <v>0.12</v>
      </c>
      <c r="F112" s="50">
        <f>D112*E112</f>
        <v>4269.4220569775043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39847.939198456712</v>
      </c>
      <c r="E113" s="301">
        <v>0.16619999999999999</v>
      </c>
      <c r="F113" s="50">
        <f>D113*E113</f>
        <v>6622.7274947835049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46470.666693240215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412.81267500000001</v>
      </c>
      <c r="E116" s="321">
        <f>'Custo Gerencial LOTE 06'!$G$81</f>
        <v>67.63</v>
      </c>
      <c r="F116" s="309">
        <f>D116*E116</f>
        <v>27918.521210249997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74389.187903490209</v>
      </c>
      <c r="F118" s="315">
        <f>E118*D118</f>
        <v>74389.187903490209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351" t="s">
        <v>261</v>
      </c>
      <c r="B120" s="702" t="s">
        <v>524</v>
      </c>
      <c r="C120" s="702"/>
      <c r="D120" s="702"/>
      <c r="E120" s="702"/>
      <c r="F120" s="703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305707.5872620272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66265.989918749998</v>
      </c>
    </row>
    <row r="124" spans="1:8" ht="19.899999999999999" customHeight="1" x14ac:dyDescent="0.2">
      <c r="A124" s="291" t="s">
        <v>121</v>
      </c>
      <c r="B124" s="55" t="s">
        <v>5</v>
      </c>
      <c r="C124" s="53" t="s">
        <v>397</v>
      </c>
      <c r="D124" s="480">
        <f>(H124*F1)/K2</f>
        <v>508.86</v>
      </c>
      <c r="E124" s="63">
        <f>'Planilha base'!$F$15/176</f>
        <v>59.706590909090913</v>
      </c>
      <c r="F124" s="50">
        <f>D124*E124</f>
        <v>30382.295850000002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508.86</v>
      </c>
      <c r="E125" s="63">
        <f>'Planilha base'!$F$16/176</f>
        <v>49.121022727272724</v>
      </c>
      <c r="F125" s="50">
        <f>D125*E125</f>
        <v>24995.723624999999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508.86</v>
      </c>
      <c r="E126" s="69">
        <f>'Planilha base'!$F$22/176</f>
        <v>16.018863636363637</v>
      </c>
      <c r="F126" s="50">
        <f>D126*E126</f>
        <v>8151.3589500000007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254.43</v>
      </c>
      <c r="E127" s="63">
        <f>'Planilha base'!$F$27/176</f>
        <v>10.755852272727273</v>
      </c>
      <c r="F127" s="50">
        <f>D127*E127</f>
        <v>2736.6114937500001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75569.734903342498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66265.989918749998</v>
      </c>
      <c r="E130" s="301">
        <v>0.84040000000000004</v>
      </c>
      <c r="F130" s="50">
        <f>D130*E130</f>
        <v>55689.937927717503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66265.989918749998</v>
      </c>
      <c r="E131" s="301">
        <v>0.3</v>
      </c>
      <c r="F131" s="50">
        <f>D131*E131</f>
        <v>19879.796975624999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43422.156139934683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141835.72482209251</v>
      </c>
      <c r="E134" s="301">
        <v>0.12</v>
      </c>
      <c r="F134" s="50">
        <f>D134*E134</f>
        <v>17020.2869786511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158856.01180074361</v>
      </c>
      <c r="E135" s="301">
        <v>0.16619999999999999</v>
      </c>
      <c r="F135" s="50">
        <f>D135*E135</f>
        <v>26401.869161283586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185257.88096202718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1781.01</v>
      </c>
      <c r="E138" s="321">
        <f>'Custo Gerencial LOTE 06'!$G$81</f>
        <v>67.63</v>
      </c>
      <c r="F138" s="309">
        <f>D138*E138</f>
        <v>120449.70629999999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305707.5872620272</v>
      </c>
      <c r="F140" s="315">
        <f>E140*D140</f>
        <v>3668491.0471443264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447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69" t="s">
        <v>490</v>
      </c>
      <c r="F143" s="670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796239.06041380332</v>
      </c>
      <c r="F145" s="94">
        <f t="shared" ref="F145:F150" si="0">ROUND(D145*E145,2)</f>
        <v>796239.06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175282.99414864907</v>
      </c>
      <c r="F146" s="94">
        <f t="shared" si="0"/>
        <v>175282.99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122782.09579708631</v>
      </c>
      <c r="F147" s="94">
        <f t="shared" si="0"/>
        <v>122782.1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84683.000346795336</v>
      </c>
      <c r="F148" s="94">
        <f t="shared" si="0"/>
        <v>84683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74389.187903490209</v>
      </c>
      <c r="F149" s="94">
        <f t="shared" si="0"/>
        <v>74389.19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305707.5872620272</v>
      </c>
      <c r="F150" s="389">
        <f t="shared" si="0"/>
        <v>3668491.05</v>
      </c>
      <c r="I150" s="391"/>
      <c r="J150" s="391"/>
      <c r="K150" s="391"/>
      <c r="L150" s="391"/>
    </row>
    <row r="151" spans="1:12" ht="19.899999999999999" customHeight="1" thickBot="1" x14ac:dyDescent="0.25">
      <c r="D151" s="386"/>
      <c r="E151" s="552" t="s">
        <v>195</v>
      </c>
      <c r="F151" s="553">
        <f>ROUND(SUM(F145:F150),2)</f>
        <v>4921867.3899999997</v>
      </c>
      <c r="I151" s="391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J3:O3"/>
    <mergeCell ref="B120:F120"/>
    <mergeCell ref="B54:F54"/>
    <mergeCell ref="B78:F78"/>
    <mergeCell ref="B99:F99"/>
    <mergeCell ref="E143:F143"/>
    <mergeCell ref="D143:D144"/>
    <mergeCell ref="A143:A144"/>
    <mergeCell ref="B143:C144"/>
    <mergeCell ref="B30:F30"/>
    <mergeCell ref="A142:F142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2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2"/>
  <sheetViews>
    <sheetView showGridLines="0" topLeftCell="A28" zoomScale="85" zoomScaleNormal="85" zoomScaleSheetLayoutView="85" zoomScalePageLayoutView="70" workbookViewId="0">
      <selection activeCell="E56" sqref="E56:F56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10" width="9.5703125" style="18" customWidth="1"/>
    <col min="11" max="18" width="9.5703125" style="17" customWidth="1"/>
    <col min="19" max="23" width="7.7109375" style="17" customWidth="1"/>
    <col min="24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89" t="s">
        <v>448</v>
      </c>
      <c r="B1" s="690"/>
      <c r="C1" s="690"/>
      <c r="D1" s="690"/>
      <c r="E1" s="690"/>
      <c r="F1" s="690"/>
      <c r="G1" s="691"/>
    </row>
    <row r="2" spans="1:10" ht="78.75" customHeight="1" thickBot="1" x14ac:dyDescent="0.3">
      <c r="A2" s="640" t="s">
        <v>449</v>
      </c>
      <c r="B2" s="641"/>
      <c r="C2" s="692" t="s">
        <v>453</v>
      </c>
      <c r="D2" s="693"/>
      <c r="E2" s="694"/>
      <c r="F2" s="695" t="s">
        <v>99</v>
      </c>
      <c r="G2" s="696"/>
      <c r="J2" s="19"/>
    </row>
    <row r="3" spans="1:10" ht="16.5" thickBot="1" x14ac:dyDescent="0.3">
      <c r="A3" s="642" t="s">
        <v>100</v>
      </c>
      <c r="B3" s="643"/>
      <c r="C3" s="638">
        <f>SUM(Resumo!G22:G24)</f>
        <v>2134.7000000000003</v>
      </c>
      <c r="D3" s="638"/>
      <c r="E3" s="639"/>
      <c r="F3" s="697"/>
      <c r="G3" s="698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341" t="s">
        <v>101</v>
      </c>
      <c r="B6" s="342" t="s">
        <v>102</v>
      </c>
      <c r="C6" s="343" t="s">
        <v>103</v>
      </c>
      <c r="D6" s="343" t="s">
        <v>104</v>
      </c>
      <c r="E6" s="344" t="s">
        <v>105</v>
      </c>
      <c r="F6" s="344" t="s">
        <v>106</v>
      </c>
      <c r="G6" s="345" t="s">
        <v>107</v>
      </c>
      <c r="H6" s="34"/>
      <c r="I6" s="3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125097.96839632593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51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8645.2999999999993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0</v>
      </c>
      <c r="F13" s="63">
        <f>VLOOKUP(A13,'Planilha base'!$C$11:$F$27,4)</f>
        <v>17046.79</v>
      </c>
      <c r="G13" s="467">
        <f>E13*F13</f>
        <v>0</v>
      </c>
      <c r="I13" s="51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>
        <v>0</v>
      </c>
      <c r="F14" s="63">
        <f>VLOOKUP(A14,'Planilha base'!$C$11:$F$27,4)</f>
        <v>13432.23</v>
      </c>
      <c r="G14" s="467">
        <f>E14*F14</f>
        <v>0</v>
      </c>
      <c r="I14" s="51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>
        <v>0</v>
      </c>
      <c r="F15" s="63">
        <f>VLOOKUP(A15,'Planilha base'!$C$11:$F$27,4)</f>
        <v>10508.36</v>
      </c>
      <c r="G15" s="467">
        <f>E15*F15</f>
        <v>0</v>
      </c>
      <c r="I15" s="51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>
        <v>0</v>
      </c>
      <c r="F16" s="63">
        <f>VLOOKUP(A16,'Planilha base'!$C$11:$F$27,4)</f>
        <v>8645.2999999999993</v>
      </c>
      <c r="G16" s="467">
        <f>E16*F16</f>
        <v>0</v>
      </c>
      <c r="I16" s="51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51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4644.72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1</v>
      </c>
      <c r="F20" s="63">
        <f>VLOOKUP(A20,'Planilha base'!$C$11:$F$27,4)</f>
        <v>4644.72</v>
      </c>
      <c r="G20" s="467">
        <f>E20*F20</f>
        <v>4644.72</v>
      </c>
      <c r="I20" s="51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51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51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51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51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51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16772.570115333336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19763.330000000002</v>
      </c>
      <c r="F31" s="301">
        <v>0.84040000000000004</v>
      </c>
      <c r="G31" s="467">
        <f>E31*F31</f>
        <v>16609.102532000001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0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6174.2003749999994</v>
      </c>
      <c r="J33" s="46"/>
    </row>
    <row r="34" spans="1:10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20580.667916666665</v>
      </c>
      <c r="F34" s="301">
        <v>0.3</v>
      </c>
      <c r="G34" s="467">
        <f>E34*F34</f>
        <v>6174.2003749999994</v>
      </c>
      <c r="J34" s="46"/>
    </row>
    <row r="35" spans="1:10" x14ac:dyDescent="0.25">
      <c r="A35" s="37"/>
      <c r="B35" s="38"/>
      <c r="C35" s="39"/>
      <c r="D35" s="57"/>
      <c r="E35" s="44"/>
      <c r="F35" s="474"/>
      <c r="G35" s="469"/>
      <c r="J35" s="46"/>
    </row>
    <row r="36" spans="1:10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9351.81</v>
      </c>
      <c r="I36" s="61"/>
      <c r="J36" s="46"/>
    </row>
    <row r="37" spans="1:10" x14ac:dyDescent="0.25">
      <c r="A37" s="47"/>
      <c r="B37" s="48" t="s">
        <v>153</v>
      </c>
      <c r="C37" s="55" t="s">
        <v>154</v>
      </c>
      <c r="D37" s="53" t="s">
        <v>155</v>
      </c>
      <c r="E37" s="44">
        <v>3</v>
      </c>
      <c r="F37" s="63">
        <f>'Tabela DNIT-Consult'!$L$23</f>
        <v>3117.27</v>
      </c>
      <c r="G37" s="467">
        <f>E37*F37</f>
        <v>9351.81</v>
      </c>
      <c r="I37" s="51"/>
      <c r="J37" s="46"/>
    </row>
    <row r="38" spans="1:10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51"/>
      <c r="J38" s="46"/>
    </row>
    <row r="39" spans="1:10" x14ac:dyDescent="0.25">
      <c r="A39" s="47"/>
      <c r="B39" s="48"/>
      <c r="C39" s="62"/>
      <c r="D39" s="57"/>
      <c r="E39" s="44"/>
      <c r="F39" s="63"/>
      <c r="G39" s="469"/>
      <c r="J39" s="46"/>
    </row>
    <row r="40" spans="1:10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242.73333333333332</v>
      </c>
      <c r="H40" s="65"/>
      <c r="J40" s="46"/>
    </row>
    <row r="41" spans="1:10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51"/>
      <c r="J41" s="46"/>
    </row>
    <row r="42" spans="1:10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51"/>
      <c r="J42" s="46"/>
    </row>
    <row r="43" spans="1:10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67"/>
      <c r="J43" s="46"/>
    </row>
    <row r="44" spans="1:10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67"/>
      <c r="J44" s="46"/>
    </row>
    <row r="45" spans="1:10" x14ac:dyDescent="0.25">
      <c r="A45" s="47"/>
      <c r="B45" s="48" t="s">
        <v>167</v>
      </c>
      <c r="C45" s="66" t="s">
        <v>168</v>
      </c>
      <c r="D45" s="53" t="s">
        <v>155</v>
      </c>
      <c r="E45" s="44">
        <v>5</v>
      </c>
      <c r="F45" s="63">
        <f>375/60</f>
        <v>6.25</v>
      </c>
      <c r="G45" s="467">
        <f>E45*F45</f>
        <v>31.25</v>
      </c>
      <c r="I45" s="67"/>
      <c r="J45" s="46"/>
    </row>
    <row r="46" spans="1:10" x14ac:dyDescent="0.25">
      <c r="A46" s="47"/>
      <c r="B46" s="48"/>
      <c r="C46" s="68"/>
      <c r="D46" s="57"/>
      <c r="E46" s="69"/>
      <c r="F46" s="63"/>
      <c r="G46" s="469"/>
      <c r="I46" s="70"/>
      <c r="J46" s="46"/>
    </row>
    <row r="47" spans="1:10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1800</v>
      </c>
      <c r="I47" s="70"/>
      <c r="J47" s="46"/>
    </row>
    <row r="48" spans="1:10" x14ac:dyDescent="0.25">
      <c r="A48" s="47"/>
      <c r="B48" s="48" t="s">
        <v>170</v>
      </c>
      <c r="C48" s="55" t="s">
        <v>169</v>
      </c>
      <c r="D48" s="53" t="s">
        <v>171</v>
      </c>
      <c r="E48" s="44">
        <v>1200</v>
      </c>
      <c r="F48" s="63">
        <f>'Planilha base'!F47</f>
        <v>1.5</v>
      </c>
      <c r="G48" s="467">
        <f>E48*F48</f>
        <v>1800</v>
      </c>
      <c r="I48" s="67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51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51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51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38352</v>
      </c>
      <c r="I54" s="51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SUM(Diárias!I5:I24)</f>
        <v>160</v>
      </c>
      <c r="F55" s="63">
        <f>'Planilha base'!G77</f>
        <v>239.7</v>
      </c>
      <c r="G55" s="467">
        <f>E55*F55</f>
        <v>38352</v>
      </c>
      <c r="I55" s="51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67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29321.416655992602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95776.551740333322</v>
      </c>
      <c r="F59" s="301">
        <v>0.12</v>
      </c>
      <c r="G59" s="467">
        <f>E59*F59</f>
        <v>11493.186208839998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107269.73794917332</v>
      </c>
      <c r="F60" s="301">
        <v>0.16619999999999999</v>
      </c>
      <c r="G60" s="467">
        <f>E60*F60</f>
        <v>17828.230447152604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125097.96839632593</v>
      </c>
      <c r="H62" s="77"/>
      <c r="I62" s="78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1501175.6207559111</v>
      </c>
      <c r="H63" s="79"/>
      <c r="I63" s="8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99" t="s">
        <v>191</v>
      </c>
      <c r="B66" s="699"/>
      <c r="C66" s="699"/>
      <c r="D66" s="699"/>
      <c r="E66" s="699"/>
      <c r="F66" s="699"/>
      <c r="G66" s="699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700" t="s">
        <v>101</v>
      </c>
      <c r="B68" s="701"/>
      <c r="C68" s="346" t="s">
        <v>103</v>
      </c>
      <c r="D68" s="347"/>
      <c r="E68" s="348" t="s">
        <v>192</v>
      </c>
      <c r="F68" s="348" t="s">
        <v>193</v>
      </c>
      <c r="G68" s="349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07'!D28</f>
        <v>1</v>
      </c>
      <c r="F69" s="95">
        <f>'Relatorios LOTE 07'!D26</f>
        <v>1408.9020000000003</v>
      </c>
      <c r="G69" s="94">
        <f t="shared" ref="G69:G74" si="0">F69*E69</f>
        <v>1408.9020000000003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07'!D52</f>
        <v>1</v>
      </c>
      <c r="F70" s="95">
        <f>'Relatorios LOTE 07'!D50</f>
        <v>768.49199999999996</v>
      </c>
      <c r="G70" s="94">
        <f t="shared" si="0"/>
        <v>768.49199999999996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07'!D76</f>
        <v>1</v>
      </c>
      <c r="F71" s="95">
        <f>'Relatorios LOTE 07'!D74</f>
        <v>586.13525250000009</v>
      </c>
      <c r="G71" s="94">
        <f t="shared" si="0"/>
        <v>586.13525250000009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07'!D97</f>
        <v>1</v>
      </c>
      <c r="F72" s="95">
        <f>'Relatorios LOTE 07'!D95</f>
        <v>711.3354075000002</v>
      </c>
      <c r="G72" s="94">
        <f t="shared" si="0"/>
        <v>711.3354075000002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07'!D118</f>
        <v>1</v>
      </c>
      <c r="F73" s="95">
        <f>'Relatorios LOTE 07'!D116</f>
        <v>761.98116500000015</v>
      </c>
      <c r="G73" s="94">
        <f t="shared" si="0"/>
        <v>761.98116500000015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07'!D140</f>
        <v>12</v>
      </c>
      <c r="F74" s="95">
        <f>'Relatorios LOTE 07'!D138</f>
        <v>3287.4380000000006</v>
      </c>
      <c r="G74" s="94">
        <f t="shared" si="0"/>
        <v>39449.256000000008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43686.101825000005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1501175.6207559111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43686.101825000005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105">
        <f>ROUND(G79/G80,2)</f>
        <v>34.36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53"/>
  <sheetViews>
    <sheetView showGridLines="0" zoomScale="85" zoomScaleNormal="85" zoomScaleSheetLayoutView="85" zoomScalePageLayoutView="85" workbookViewId="0">
      <pane ySplit="1" topLeftCell="A143" activePane="bottomLeft" state="frozen"/>
      <selection activeCell="B121" sqref="B121"/>
      <selection pane="bottomLeft" activeCell="B153" sqref="B153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704" t="s">
        <v>382</v>
      </c>
      <c r="B1" s="705"/>
      <c r="C1" s="706" t="str">
        <f>'Custo Gerencial LOTE 07'!C2:E2</f>
        <v>BR-050/GO/MG (MGO Rodovias)
BR-163/MS (MS VIA)
BR-163/MT (CRO)</v>
      </c>
      <c r="D1" s="706"/>
      <c r="E1" s="706"/>
      <c r="F1" s="350">
        <f>'Custo Gerencial LOTE 07'!C3</f>
        <v>2134.7000000000003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351" t="s">
        <v>247</v>
      </c>
      <c r="B3" s="702" t="s">
        <v>384</v>
      </c>
      <c r="C3" s="702"/>
      <c r="D3" s="702"/>
      <c r="E3" s="702"/>
      <c r="F3" s="703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1651101.9207290013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63962.443040000013</v>
      </c>
      <c r="J6" s="285"/>
      <c r="K6" s="285"/>
      <c r="L6" s="285"/>
      <c r="M6" s="290">
        <f>N6*O6</f>
        <v>176</v>
      </c>
      <c r="N6" s="285">
        <v>22</v>
      </c>
      <c r="O6" s="285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($F$1*$H$7)/$K$2</f>
        <v>469.63400000000007</v>
      </c>
      <c r="E7" s="63">
        <f>'Tabela DNIT-Consult'!$L$9/176</f>
        <v>76.31948863636363</v>
      </c>
      <c r="F7" s="50">
        <f>D7*E7</f>
        <v>35842.226726250003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($F$1*$H$7)/$K$2</f>
        <v>469.63400000000007</v>
      </c>
      <c r="E8" s="63">
        <f>'Planilha base'!$F$16/176</f>
        <v>49.121022727272724</v>
      </c>
      <c r="F8" s="50">
        <f>D8*E8</f>
        <v>23068.902387500002</v>
      </c>
      <c r="L8" s="352"/>
      <c r="M8" s="353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($F$1*$H$7)/$K$2</f>
        <v>469.63400000000007</v>
      </c>
      <c r="E9" s="63">
        <f>'Planilha base'!$F$27/176</f>
        <v>10.755852272727273</v>
      </c>
      <c r="F9" s="50">
        <f>D9*E9</f>
        <v>5051.3139262500008</v>
      </c>
      <c r="L9" s="354"/>
      <c r="M9" s="319"/>
    </row>
    <row r="10" spans="1:15" ht="19.899999999999999" customHeight="1" x14ac:dyDescent="0.2">
      <c r="A10" s="291"/>
      <c r="B10" s="55"/>
      <c r="C10" s="53"/>
      <c r="D10" s="297"/>
      <c r="E10" s="63"/>
      <c r="F10" s="50"/>
      <c r="L10" s="319"/>
      <c r="M10" s="319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72942.770042816017</v>
      </c>
      <c r="L11" s="319"/>
      <c r="M11" s="355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63962.443040000013</v>
      </c>
      <c r="E12" s="301">
        <v>0.84040000000000004</v>
      </c>
      <c r="F12" s="50">
        <f>D12*E12</f>
        <v>53754.03713081601</v>
      </c>
      <c r="L12" s="319"/>
      <c r="M12" s="356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63962.443040000013</v>
      </c>
      <c r="E13" s="301">
        <v>0.3</v>
      </c>
      <c r="F13" s="50">
        <f>D13*E13</f>
        <v>19188.732912000003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1090135.6399999997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Rolamento'!H22:H24)</f>
        <v>2155.0119999999997</v>
      </c>
      <c r="E16" s="63">
        <f>'Cotações FWD,IRI,LVC e Mancha'!AT19</f>
        <v>238</v>
      </c>
      <c r="F16" s="50">
        <f>D16*E16</f>
        <v>512892.85599999991</v>
      </c>
    </row>
    <row r="17" spans="1: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Rolamento'!I22:I24)</f>
        <v>5387.53</v>
      </c>
      <c r="E17" s="63">
        <f>'Cotações FWD,IRI,LVC e Mancha'!AU19</f>
        <v>64</v>
      </c>
      <c r="F17" s="50">
        <f>D17*E17</f>
        <v>344801.92</v>
      </c>
    </row>
    <row r="18" spans="1: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Rolamento'!J22:J24)</f>
        <v>2155.0119999999997</v>
      </c>
      <c r="E18" s="63">
        <f>'Cotações FWD,IRI,LVC e Mancha'!AV19</f>
        <v>72</v>
      </c>
      <c r="F18" s="50">
        <f>D18*E18</f>
        <v>155160.86399999997</v>
      </c>
    </row>
    <row r="19" spans="1: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Rolamento'!K22:K24)</f>
        <v>322</v>
      </c>
      <c r="E19" s="63">
        <f>'Cotações FWD,IRI,LVC e Mancha'!AW19</f>
        <v>240</v>
      </c>
      <c r="F19" s="50">
        <f>D19*E19</f>
        <v>77280</v>
      </c>
    </row>
    <row r="20" spans="1:6" ht="19.899999999999999" customHeight="1" x14ac:dyDescent="0.2">
      <c r="A20" s="291"/>
      <c r="B20" s="55"/>
      <c r="C20" s="53"/>
      <c r="D20" s="297"/>
      <c r="E20" s="63"/>
      <c r="F20" s="50"/>
    </row>
    <row r="21" spans="1: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375651.19492618548</v>
      </c>
    </row>
    <row r="22" spans="1: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1227040.8530828157</v>
      </c>
      <c r="E22" s="301">
        <v>0.12</v>
      </c>
      <c r="F22" s="50">
        <f>D22*E22</f>
        <v>147244.90236993786</v>
      </c>
    </row>
    <row r="23" spans="1: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1374285.7554527535</v>
      </c>
      <c r="E23" s="301">
        <v>0.16619999999999999</v>
      </c>
      <c r="F23" s="50">
        <f>D23*E23</f>
        <v>228406.29255624762</v>
      </c>
    </row>
    <row r="24" spans="1: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1602692.0480090012</v>
      </c>
    </row>
    <row r="25" spans="1: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1408.9020000000003</v>
      </c>
      <c r="E26" s="308">
        <f>'Custo Gerencial LOTE 07'!$G$81</f>
        <v>34.36</v>
      </c>
      <c r="F26" s="309">
        <f>D26*E26</f>
        <v>48409.872720000007</v>
      </c>
    </row>
    <row r="27" spans="1: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1651101.9207290013</v>
      </c>
      <c r="F28" s="315">
        <f>E28*D28</f>
        <v>1651101.9207290013</v>
      </c>
    </row>
    <row r="29" spans="1:6" ht="19.899999999999999" customHeight="1" thickBot="1" x14ac:dyDescent="0.25">
      <c r="A29" s="317"/>
      <c r="B29" s="317"/>
      <c r="C29" s="317"/>
      <c r="D29" s="317"/>
      <c r="E29" s="317"/>
      <c r="F29" s="317"/>
    </row>
    <row r="30" spans="1:6" ht="19.899999999999999" customHeight="1" x14ac:dyDescent="0.2">
      <c r="A30" s="351" t="s">
        <v>249</v>
      </c>
      <c r="B30" s="702" t="s">
        <v>420</v>
      </c>
      <c r="C30" s="702"/>
      <c r="D30" s="702"/>
      <c r="E30" s="702"/>
      <c r="F30" s="703"/>
    </row>
    <row r="31" spans="1: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297974.51725521934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22153.397479772728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256.16399999999999</v>
      </c>
      <c r="E34" s="69">
        <f>'Planilha base'!$F$15/176</f>
        <v>59.706590909090913</v>
      </c>
      <c r="F34" s="482">
        <f>D34*E34</f>
        <v>15294.679153636363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256.16399999999999</v>
      </c>
      <c r="E35" s="69">
        <f>'Planilha base'!$F$22/176</f>
        <v>16.018863636363637</v>
      </c>
      <c r="F35" s="482">
        <f>D35*E35</f>
        <v>4103.4561845454546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256.16399999999999</v>
      </c>
      <c r="E36" s="63">
        <f>'Planilha base'!$F$27/176</f>
        <v>10.755852272727273</v>
      </c>
      <c r="F36" s="482">
        <f>D36*E36</f>
        <v>2755.2621415909089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25263.734485932822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22153.397479772728</v>
      </c>
      <c r="E39" s="301">
        <v>0.84040000000000004</v>
      </c>
      <c r="F39" s="482">
        <f>D39*E39</f>
        <v>18617.715242001002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22153.397479772728</v>
      </c>
      <c r="E40" s="301">
        <v>0.3</v>
      </c>
      <c r="F40" s="482">
        <f>D40*E40</f>
        <v>6646.019243931818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160499.55420000004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960.61500000000012</v>
      </c>
      <c r="E43" s="485">
        <f>'Cotações FWD,IRI,LVC e Mancha'!AV32</f>
        <v>167.08</v>
      </c>
      <c r="F43" s="482">
        <f>D43*E43</f>
        <v>160499.55420000004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63652.445969513763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207916.68616570559</v>
      </c>
      <c r="E46" s="301">
        <v>0.12</v>
      </c>
      <c r="F46" s="482">
        <f>D46*E46</f>
        <v>24950.002339884668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232866.68850559025</v>
      </c>
      <c r="E47" s="301">
        <v>0.16619999999999999</v>
      </c>
      <c r="F47" s="50">
        <f>D47*E47</f>
        <v>38702.443629629095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271569.13213521935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768.49199999999996</v>
      </c>
      <c r="E50" s="321">
        <f>'Custo Gerencial LOTE 07'!$G$81</f>
        <v>34.36</v>
      </c>
      <c r="F50" s="309">
        <f>D50*E50</f>
        <v>26405.385119999999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297974.51725521934</v>
      </c>
      <c r="F52" s="315">
        <f>E52*D52</f>
        <v>297974.51725521934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351" t="s">
        <v>419</v>
      </c>
      <c r="B54" s="702" t="s">
        <v>421</v>
      </c>
      <c r="C54" s="702"/>
      <c r="D54" s="702"/>
      <c r="E54" s="702"/>
      <c r="F54" s="703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207133.9017645781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16896.580869468329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195.37841750000004</v>
      </c>
      <c r="E58" s="69">
        <f>'Planilha base'!$F$15/176</f>
        <v>59.706590909090913</v>
      </c>
      <c r="F58" s="50">
        <f>D58*E58</f>
        <v>11665.379246138071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195.37841750000004</v>
      </c>
      <c r="E59" s="69">
        <f>'Planilha base'!$F$22/176</f>
        <v>16.018863636363637</v>
      </c>
      <c r="F59" s="50">
        <f>D59*E59</f>
        <v>3129.7402274210235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195.37841750000004</v>
      </c>
      <c r="E60" s="63">
        <f>'Planilha base'!$F$27/176</f>
        <v>10.755852272727273</v>
      </c>
      <c r="F60" s="50">
        <f>D60*E60</f>
        <v>2101.4613959092335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19268.860823541683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16896.580869468329</v>
      </c>
      <c r="E63" s="301">
        <v>0.84040000000000004</v>
      </c>
      <c r="F63" s="50">
        <f>D63*E63</f>
        <v>14199.886562701184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16896.580869468329</v>
      </c>
      <c r="E64" s="301">
        <v>0.3</v>
      </c>
      <c r="F64" s="50">
        <f>D64*E64</f>
        <v>5068.9742608404986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106999.70280000003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640.41000000000008</v>
      </c>
      <c r="E67" s="485">
        <f>'Cotações FWD,IRI,LVC e Mancha'!AV33</f>
        <v>167.08</v>
      </c>
      <c r="F67" s="50">
        <f>D67*E67</f>
        <v>106999.70280000003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43829.149995668064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143165.14449301004</v>
      </c>
      <c r="E70" s="301">
        <v>0.12</v>
      </c>
      <c r="F70" s="50">
        <f>D70*E70</f>
        <v>17179.817339161204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160344.96183217125</v>
      </c>
      <c r="E71" s="301">
        <v>0.16619999999999999</v>
      </c>
      <c r="F71" s="50">
        <f>D71*E71</f>
        <v>26649.33265650686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186994.2944886781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586.13525250000009</v>
      </c>
      <c r="E74" s="321">
        <f>'Custo Gerencial LOTE 07'!$G$81</f>
        <v>34.36</v>
      </c>
      <c r="F74" s="309">
        <f>D74*E74</f>
        <v>20139.607275900002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207133.9017645781</v>
      </c>
      <c r="F76" s="315">
        <f>E76*D76</f>
        <v>207133.9017645781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351" t="s">
        <v>255</v>
      </c>
      <c r="B78" s="702" t="s">
        <v>422</v>
      </c>
      <c r="C78" s="702"/>
      <c r="D78" s="702"/>
      <c r="E78" s="702"/>
      <c r="F78" s="703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132644.11815227094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38703.641576867762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317.48325750000004</v>
      </c>
      <c r="E82" s="63">
        <f>'Planilha base'!$F$14/176</f>
        <v>76.31948863636363</v>
      </c>
      <c r="F82" s="50">
        <f>D82*E82</f>
        <v>24230.15986300696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266.83750000000003</v>
      </c>
      <c r="E83" s="63">
        <f>'Planilha base'!$F$16/176</f>
        <v>49.121022727272724</v>
      </c>
      <c r="F83" s="50">
        <f>D83*E83</f>
        <v>13107.330901988636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127.01465000000002</v>
      </c>
      <c r="E84" s="63">
        <f>'Planilha base'!$F$27/176</f>
        <v>10.755852272727273</v>
      </c>
      <c r="F84" s="50">
        <f>D84*E84</f>
        <v>1366.1508118721592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44137.632854259995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38703.641576867762</v>
      </c>
      <c r="E87" s="301">
        <v>0.84040000000000004</v>
      </c>
      <c r="F87" s="50">
        <f>D87*E87</f>
        <v>32526.540381199669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38703.641576867762</v>
      </c>
      <c r="E88" s="301">
        <v>0.3</v>
      </c>
      <c r="F88" s="50">
        <f>D88*E88</f>
        <v>11611.092473060327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25361.359119443179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82841.274431127764</v>
      </c>
      <c r="E91" s="301">
        <v>0.12</v>
      </c>
      <c r="F91" s="50">
        <f>D91*E91</f>
        <v>9940.9529317353317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92782.227362863094</v>
      </c>
      <c r="E92" s="301">
        <v>0.16619999999999999</v>
      </c>
      <c r="F92" s="50">
        <f>D92*E92</f>
        <v>15420.406187707846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108202.63355057093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711.3354075000002</v>
      </c>
      <c r="E95" s="321">
        <f>'Custo Gerencial LOTE 07'!$G$81</f>
        <v>34.36</v>
      </c>
      <c r="F95" s="309">
        <f>D95*E95</f>
        <v>24441.484601700005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132644.11815227094</v>
      </c>
      <c r="F97" s="315">
        <f>E97*D97</f>
        <v>132644.11815227094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351" t="s">
        <v>258</v>
      </c>
      <c r="B99" s="702" t="s">
        <v>424</v>
      </c>
      <c r="C99" s="702"/>
      <c r="D99" s="702"/>
      <c r="E99" s="702"/>
      <c r="F99" s="703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111958.52729551318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30682.03168360014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317.48325750000004</v>
      </c>
      <c r="E103" s="63">
        <f>'Planilha base'!$F$14/176</f>
        <v>76.31948863636363</v>
      </c>
      <c r="F103" s="50">
        <f>D103*E103</f>
        <v>24230.15986300696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317.48325750000004</v>
      </c>
      <c r="E104" s="69">
        <f>'Planilha base'!$F$22/176</f>
        <v>16.018863636363637</v>
      </c>
      <c r="F104" s="50">
        <f>D104*E104</f>
        <v>5085.7210087210233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127.01465000000002</v>
      </c>
      <c r="E105" s="63">
        <f>'Planilha base'!$F$27/176</f>
        <v>10.755852272727273</v>
      </c>
      <c r="F105" s="50">
        <f>D105*E105</f>
        <v>1366.1508118721592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34989.7889319776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30682.03168360014</v>
      </c>
      <c r="E108" s="301">
        <v>0.84040000000000004</v>
      </c>
      <c r="F108" s="50">
        <f>D108*E108</f>
        <v>25785.179426897557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30682.03168360014</v>
      </c>
      <c r="E109" s="301">
        <v>0.3</v>
      </c>
      <c r="F109" s="50">
        <f>D109*E109</f>
        <v>9204.6095050800413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20105.03385053543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65671.820615577744</v>
      </c>
      <c r="E112" s="301">
        <v>0.12</v>
      </c>
      <c r="F112" s="50">
        <f>D112*E112</f>
        <v>7880.6184738693291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73552.439089447071</v>
      </c>
      <c r="E113" s="301">
        <v>0.16619999999999999</v>
      </c>
      <c r="F113" s="50">
        <f>D113*E113</f>
        <v>12224.415376666102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85776.854466113175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761.98116500000015</v>
      </c>
      <c r="E116" s="321">
        <f>'Custo Gerencial LOTE 07'!$G$81</f>
        <v>34.36</v>
      </c>
      <c r="F116" s="309">
        <f>D116*E116</f>
        <v>26181.672829400006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111958.52729551318</v>
      </c>
      <c r="F118" s="315">
        <f>E118*D118</f>
        <v>111958.52729551318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351" t="s">
        <v>261</v>
      </c>
      <c r="B120" s="702" t="s">
        <v>524</v>
      </c>
      <c r="C120" s="702"/>
      <c r="D120" s="702"/>
      <c r="E120" s="702"/>
      <c r="F120" s="703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454910.54044492822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122315.61494125002</v>
      </c>
    </row>
    <row r="124" spans="1:8" ht="19.899999999999999" customHeight="1" x14ac:dyDescent="0.2">
      <c r="A124" s="291" t="s">
        <v>121</v>
      </c>
      <c r="B124" s="55" t="s">
        <v>5</v>
      </c>
      <c r="C124" s="53" t="s">
        <v>397</v>
      </c>
      <c r="D124" s="480">
        <f>(H124*F1)/K2</f>
        <v>939.26800000000014</v>
      </c>
      <c r="E124" s="63">
        <f>'Planilha base'!$F$15/176</f>
        <v>59.706590909090913</v>
      </c>
      <c r="F124" s="50">
        <f>D124*E124</f>
        <v>56080.49023000001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939.26800000000014</v>
      </c>
      <c r="E125" s="63">
        <f>'Planilha base'!$F$16/176</f>
        <v>49.121022727272724</v>
      </c>
      <c r="F125" s="50">
        <f>D125*E125</f>
        <v>46137.804775000004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939.26800000000014</v>
      </c>
      <c r="E126" s="69">
        <f>'Planilha base'!$F$22/176</f>
        <v>16.018863636363637</v>
      </c>
      <c r="F126" s="50">
        <f>D126*E126</f>
        <v>15046.006010000003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469.63400000000007</v>
      </c>
      <c r="E127" s="63">
        <f>'Planilha base'!$F$27/176</f>
        <v>10.755852272727273</v>
      </c>
      <c r="F127" s="50">
        <f>D127*E127</f>
        <v>5051.3139262500008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139488.72727900153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122315.61494125002</v>
      </c>
      <c r="E130" s="301">
        <v>0.84040000000000004</v>
      </c>
      <c r="F130" s="50">
        <f>D130*E130</f>
        <v>102794.04279662653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122315.61494125002</v>
      </c>
      <c r="E131" s="301">
        <v>0.3</v>
      </c>
      <c r="F131" s="50">
        <f>D131*E131</f>
        <v>36694.684482375007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80149.828544676682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261804.34222025156</v>
      </c>
      <c r="E134" s="301">
        <v>0.12</v>
      </c>
      <c r="F134" s="50">
        <f>D134*E134</f>
        <v>31416.521066430185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293220.86328668176</v>
      </c>
      <c r="E135" s="301">
        <v>0.16619999999999999</v>
      </c>
      <c r="F135" s="50">
        <f>D135*E135</f>
        <v>48733.307478246505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341954.17076492822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3287.4380000000006</v>
      </c>
      <c r="E138" s="321">
        <f>'Custo Gerencial LOTE 07'!$G$81</f>
        <v>34.36</v>
      </c>
      <c r="F138" s="309">
        <f>D138*E138</f>
        <v>112956.36968000002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454910.54044492822</v>
      </c>
      <c r="F140" s="315">
        <f>E140*D140</f>
        <v>5458926.4853391387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450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69" t="s">
        <v>490</v>
      </c>
      <c r="F143" s="670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1651101.9207290013</v>
      </c>
      <c r="F145" s="94">
        <f t="shared" ref="F145:F150" si="0">ROUND(D145*E145,2)</f>
        <v>1651101.92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297974.51725521934</v>
      </c>
      <c r="F146" s="94">
        <f t="shared" si="0"/>
        <v>297974.52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207133.9017645781</v>
      </c>
      <c r="F147" s="94">
        <f t="shared" si="0"/>
        <v>207133.9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132644.11815227094</v>
      </c>
      <c r="F148" s="94">
        <f t="shared" si="0"/>
        <v>132644.12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111958.52729551318</v>
      </c>
      <c r="F149" s="94">
        <f t="shared" si="0"/>
        <v>111958.53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454910.54044492822</v>
      </c>
      <c r="F150" s="389">
        <f t="shared" si="0"/>
        <v>5458926.4900000002</v>
      </c>
      <c r="I150" s="391"/>
      <c r="J150" s="391"/>
      <c r="K150" s="391"/>
      <c r="L150" s="391"/>
    </row>
    <row r="151" spans="1:12" ht="19.899999999999999" customHeight="1" thickBot="1" x14ac:dyDescent="0.25">
      <c r="D151" s="386"/>
      <c r="E151" s="552" t="s">
        <v>195</v>
      </c>
      <c r="F151" s="553">
        <f>ROUND(SUM(F145:F150),2)</f>
        <v>7859739.4800000004</v>
      </c>
      <c r="I151" s="391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mergeCells count="14">
    <mergeCell ref="A1:B1"/>
    <mergeCell ref="C1:E1"/>
    <mergeCell ref="B3:F3"/>
    <mergeCell ref="J3:O3"/>
    <mergeCell ref="B120:F120"/>
    <mergeCell ref="B54:F54"/>
    <mergeCell ref="B78:F78"/>
    <mergeCell ref="B99:F99"/>
    <mergeCell ref="E143:F143"/>
    <mergeCell ref="D143:D144"/>
    <mergeCell ref="A143:A144"/>
    <mergeCell ref="B143:C144"/>
    <mergeCell ref="B30:F30"/>
    <mergeCell ref="A142:F142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2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68"/>
  <sheetViews>
    <sheetView zoomScale="115" zoomScaleNormal="115" zoomScaleSheetLayoutView="115" workbookViewId="0">
      <selection activeCell="B21" sqref="B21"/>
    </sheetView>
  </sheetViews>
  <sheetFormatPr defaultColWidth="8.85546875" defaultRowHeight="15" x14ac:dyDescent="0.25"/>
  <cols>
    <col min="1" max="1" width="15.7109375" style="233" bestFit="1" customWidth="1"/>
    <col min="2" max="2" width="28" style="233" customWidth="1"/>
    <col min="3" max="3" width="7.42578125" style="233" customWidth="1"/>
    <col min="4" max="4" width="10.42578125" style="233" bestFit="1" customWidth="1"/>
    <col min="5" max="5" width="6" style="233" customWidth="1"/>
    <col min="6" max="20" width="8" style="233" customWidth="1"/>
    <col min="21" max="16384" width="8.85546875" style="233"/>
  </cols>
  <sheetData>
    <row r="1" spans="1:20" x14ac:dyDescent="0.25">
      <c r="A1" s="744" t="s">
        <v>485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</row>
    <row r="2" spans="1:20" x14ac:dyDescent="0.25">
      <c r="A2" s="744" t="s">
        <v>486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</row>
    <row r="3" spans="1:20" x14ac:dyDescent="0.25">
      <c r="A3" s="745" t="s">
        <v>487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45"/>
    </row>
    <row r="4" spans="1:20" x14ac:dyDescent="0.25">
      <c r="A4" s="746" t="s">
        <v>207</v>
      </c>
      <c r="B4" s="746" t="s">
        <v>475</v>
      </c>
      <c r="C4" s="749" t="s">
        <v>209</v>
      </c>
      <c r="D4" s="752" t="s">
        <v>476</v>
      </c>
      <c r="E4" s="519" t="s">
        <v>477</v>
      </c>
      <c r="F4" s="519" t="s">
        <v>478</v>
      </c>
      <c r="G4" s="519" t="s">
        <v>479</v>
      </c>
      <c r="H4" s="520" t="s">
        <v>480</v>
      </c>
      <c r="I4" s="519" t="s">
        <v>481</v>
      </c>
      <c r="J4" s="520" t="s">
        <v>482</v>
      </c>
      <c r="K4" s="519" t="s">
        <v>483</v>
      </c>
      <c r="L4" s="580">
        <v>43252</v>
      </c>
      <c r="M4" s="521"/>
      <c r="N4" s="521"/>
      <c r="O4" s="521"/>
      <c r="P4" s="521"/>
      <c r="Q4" s="521"/>
      <c r="R4" s="521"/>
      <c r="S4" s="522"/>
      <c r="T4" s="523"/>
    </row>
    <row r="5" spans="1:20" x14ac:dyDescent="0.25">
      <c r="A5" s="747"/>
      <c r="B5" s="747"/>
      <c r="C5" s="750"/>
      <c r="D5" s="753"/>
      <c r="E5" s="524" t="s">
        <v>484</v>
      </c>
      <c r="F5" s="525">
        <v>163.10900000000001</v>
      </c>
      <c r="G5" s="525">
        <v>170.32300000000001</v>
      </c>
      <c r="H5" s="526">
        <v>170.65</v>
      </c>
      <c r="I5" s="525">
        <v>213.434</v>
      </c>
      <c r="J5" s="526">
        <v>214.39099999999999</v>
      </c>
      <c r="K5" s="525">
        <v>215.33500000000001</v>
      </c>
      <c r="L5" s="527">
        <v>223.10900000000001</v>
      </c>
      <c r="M5" s="526"/>
      <c r="N5" s="526"/>
      <c r="O5" s="526"/>
      <c r="P5" s="526"/>
      <c r="Q5" s="526"/>
      <c r="R5" s="526"/>
      <c r="S5" s="528"/>
      <c r="T5" s="529"/>
    </row>
    <row r="6" spans="1:20" x14ac:dyDescent="0.25">
      <c r="A6" s="748"/>
      <c r="B6" s="748"/>
      <c r="C6" s="751"/>
      <c r="D6" s="754"/>
      <c r="E6" s="530" t="s">
        <v>426</v>
      </c>
      <c r="F6" s="531">
        <v>1</v>
      </c>
      <c r="G6" s="531">
        <v>1.04423</v>
      </c>
      <c r="H6" s="532">
        <v>1.04623</v>
      </c>
      <c r="I6" s="531">
        <v>1.30854</v>
      </c>
      <c r="J6" s="533">
        <v>1.3144</v>
      </c>
      <c r="K6" s="531">
        <v>1.32019</v>
      </c>
      <c r="L6" s="534">
        <v>1.36785</v>
      </c>
      <c r="M6" s="533"/>
      <c r="N6" s="533"/>
      <c r="O6" s="533"/>
      <c r="P6" s="533"/>
      <c r="Q6" s="533"/>
      <c r="R6" s="533"/>
      <c r="S6" s="535"/>
      <c r="T6" s="536"/>
    </row>
    <row r="7" spans="1:20" x14ac:dyDescent="0.25">
      <c r="A7" s="732" t="s">
        <v>345</v>
      </c>
      <c r="B7" s="537" t="s">
        <v>346</v>
      </c>
      <c r="C7" s="537" t="s">
        <v>272</v>
      </c>
      <c r="D7" s="546"/>
      <c r="E7" s="556" t="s">
        <v>112</v>
      </c>
      <c r="F7" s="234">
        <v>14340.81</v>
      </c>
      <c r="G7" s="234">
        <v>14975.08</v>
      </c>
      <c r="H7" s="235">
        <v>15003.83</v>
      </c>
      <c r="I7" s="234">
        <v>18765.47</v>
      </c>
      <c r="J7" s="235">
        <v>18849.61</v>
      </c>
      <c r="K7" s="234">
        <v>18932.61</v>
      </c>
      <c r="L7" s="236">
        <v>19616.11</v>
      </c>
      <c r="M7" s="237"/>
      <c r="N7" s="237"/>
      <c r="O7" s="237"/>
      <c r="P7" s="237"/>
      <c r="Q7" s="237"/>
      <c r="R7" s="237"/>
      <c r="S7" s="486"/>
      <c r="T7" s="487"/>
    </row>
    <row r="8" spans="1:20" x14ac:dyDescent="0.25">
      <c r="A8" s="742"/>
      <c r="B8" s="538" t="s">
        <v>347</v>
      </c>
      <c r="C8" s="538" t="s">
        <v>272</v>
      </c>
      <c r="D8" s="547"/>
      <c r="E8" s="557" t="s">
        <v>117</v>
      </c>
      <c r="F8" s="237">
        <v>12462.45</v>
      </c>
      <c r="G8" s="237">
        <v>13013.64</v>
      </c>
      <c r="H8" s="238">
        <v>13038.63</v>
      </c>
      <c r="I8" s="237">
        <v>16307.56</v>
      </c>
      <c r="J8" s="238">
        <v>16380.68</v>
      </c>
      <c r="K8" s="237">
        <v>16452.810000000001</v>
      </c>
      <c r="L8" s="239">
        <v>17046.79</v>
      </c>
      <c r="M8" s="237"/>
      <c r="N8" s="237"/>
      <c r="O8" s="237"/>
      <c r="P8" s="237"/>
      <c r="Q8" s="237"/>
      <c r="R8" s="237"/>
      <c r="S8" s="486"/>
      <c r="T8" s="487"/>
    </row>
    <row r="9" spans="1:20" x14ac:dyDescent="0.25">
      <c r="A9" s="742"/>
      <c r="B9" s="538" t="s">
        <v>348</v>
      </c>
      <c r="C9" s="538" t="s">
        <v>272</v>
      </c>
      <c r="D9" s="246">
        <v>1.63</v>
      </c>
      <c r="E9" s="557" t="s">
        <v>119</v>
      </c>
      <c r="F9" s="237">
        <v>9819.94</v>
      </c>
      <c r="G9" s="237">
        <v>10254.26</v>
      </c>
      <c r="H9" s="238">
        <v>10273.94</v>
      </c>
      <c r="I9" s="237">
        <v>12849.75</v>
      </c>
      <c r="J9" s="238">
        <v>12907.36</v>
      </c>
      <c r="K9" s="237">
        <v>12964.19</v>
      </c>
      <c r="L9" s="239">
        <v>13432.23</v>
      </c>
      <c r="M9" s="237"/>
      <c r="N9" s="237"/>
      <c r="O9" s="237"/>
      <c r="P9" s="237"/>
      <c r="Q9" s="237"/>
      <c r="R9" s="237"/>
      <c r="S9" s="486"/>
      <c r="T9" s="487"/>
    </row>
    <row r="10" spans="1:20" x14ac:dyDescent="0.25">
      <c r="A10" s="742"/>
      <c r="B10" s="538" t="s">
        <v>349</v>
      </c>
      <c r="C10" s="538" t="s">
        <v>272</v>
      </c>
      <c r="D10" s="246">
        <v>1.27</v>
      </c>
      <c r="E10" s="557" t="s">
        <v>121</v>
      </c>
      <c r="F10" s="237">
        <v>7682.38</v>
      </c>
      <c r="G10" s="237">
        <v>8022.16</v>
      </c>
      <c r="H10" s="238">
        <v>8037.56</v>
      </c>
      <c r="I10" s="237">
        <v>10052.67</v>
      </c>
      <c r="J10" s="238">
        <v>10097.75</v>
      </c>
      <c r="K10" s="237">
        <v>10142.209999999999</v>
      </c>
      <c r="L10" s="239">
        <v>10508.36</v>
      </c>
      <c r="M10" s="237"/>
      <c r="N10" s="237"/>
      <c r="O10" s="237"/>
      <c r="P10" s="237"/>
      <c r="Q10" s="237"/>
      <c r="R10" s="237"/>
      <c r="S10" s="486"/>
      <c r="T10" s="487"/>
    </row>
    <row r="11" spans="1:20" x14ac:dyDescent="0.25">
      <c r="A11" s="742"/>
      <c r="B11" s="538" t="s">
        <v>350</v>
      </c>
      <c r="C11" s="538" t="s">
        <v>272</v>
      </c>
      <c r="D11" s="246">
        <v>1.05</v>
      </c>
      <c r="E11" s="557" t="s">
        <v>123</v>
      </c>
      <c r="F11" s="237">
        <v>6320.35</v>
      </c>
      <c r="G11" s="237">
        <v>6599.89</v>
      </c>
      <c r="H11" s="238">
        <v>6612.56</v>
      </c>
      <c r="I11" s="237">
        <v>8270.41</v>
      </c>
      <c r="J11" s="238">
        <v>8307.49</v>
      </c>
      <c r="K11" s="237">
        <v>8344.07</v>
      </c>
      <c r="L11" s="239">
        <v>8645.2999999999993</v>
      </c>
      <c r="M11" s="237"/>
      <c r="N11" s="237"/>
      <c r="O11" s="237"/>
      <c r="P11" s="237"/>
      <c r="Q11" s="237"/>
      <c r="R11" s="237"/>
      <c r="S11" s="486"/>
      <c r="T11" s="487"/>
    </row>
    <row r="12" spans="1:20" ht="22.5" x14ac:dyDescent="0.25">
      <c r="A12" s="733"/>
      <c r="B12" s="538" t="s">
        <v>351</v>
      </c>
      <c r="C12" s="538" t="s">
        <v>272</v>
      </c>
      <c r="D12" s="246">
        <v>1</v>
      </c>
      <c r="E12" s="557" t="s">
        <v>224</v>
      </c>
      <c r="F12" s="237">
        <v>4590</v>
      </c>
      <c r="G12" s="237">
        <v>4793.01</v>
      </c>
      <c r="H12" s="238">
        <v>4802.21</v>
      </c>
      <c r="I12" s="237">
        <v>7964.5</v>
      </c>
      <c r="J12" s="238">
        <v>7964.5</v>
      </c>
      <c r="K12" s="237">
        <v>7964.5</v>
      </c>
      <c r="L12" s="239">
        <v>8109</v>
      </c>
      <c r="M12" s="488"/>
      <c r="N12" s="488"/>
      <c r="O12" s="488"/>
      <c r="P12" s="488"/>
      <c r="Q12" s="488"/>
      <c r="R12" s="488"/>
      <c r="S12" s="489"/>
      <c r="T12" s="490"/>
    </row>
    <row r="13" spans="1:20" x14ac:dyDescent="0.25">
      <c r="A13" s="732" t="s">
        <v>352</v>
      </c>
      <c r="B13" s="538" t="s">
        <v>353</v>
      </c>
      <c r="C13" s="538" t="s">
        <v>272</v>
      </c>
      <c r="D13" s="547"/>
      <c r="E13" s="557" t="s">
        <v>225</v>
      </c>
      <c r="F13" s="237">
        <v>4451.99</v>
      </c>
      <c r="G13" s="237">
        <v>4648.8900000000003</v>
      </c>
      <c r="H13" s="238">
        <v>4657.82</v>
      </c>
      <c r="I13" s="237">
        <v>5825.59</v>
      </c>
      <c r="J13" s="238">
        <v>5851.71</v>
      </c>
      <c r="K13" s="237">
        <v>5877.48</v>
      </c>
      <c r="L13" s="239">
        <v>6089.06</v>
      </c>
      <c r="M13" s="237"/>
      <c r="N13" s="237"/>
      <c r="O13" s="237"/>
      <c r="P13" s="237"/>
      <c r="Q13" s="237"/>
      <c r="R13" s="237"/>
      <c r="S13" s="486"/>
      <c r="T13" s="487"/>
    </row>
    <row r="14" spans="1:20" x14ac:dyDescent="0.25">
      <c r="A14" s="742"/>
      <c r="B14" s="538" t="s">
        <v>354</v>
      </c>
      <c r="C14" s="538" t="s">
        <v>272</v>
      </c>
      <c r="D14" s="547"/>
      <c r="E14" s="557" t="s">
        <v>128</v>
      </c>
      <c r="F14" s="237">
        <v>3395.63</v>
      </c>
      <c r="G14" s="237">
        <v>3545.81</v>
      </c>
      <c r="H14" s="238">
        <v>3552.62</v>
      </c>
      <c r="I14" s="237">
        <v>4443.3</v>
      </c>
      <c r="J14" s="238">
        <v>4463.2299999999996</v>
      </c>
      <c r="K14" s="237">
        <v>4482.88</v>
      </c>
      <c r="L14" s="239">
        <v>4644.72</v>
      </c>
      <c r="M14" s="237"/>
      <c r="N14" s="237"/>
      <c r="O14" s="237"/>
      <c r="P14" s="237"/>
      <c r="Q14" s="237"/>
      <c r="R14" s="237"/>
      <c r="S14" s="486"/>
      <c r="T14" s="487"/>
    </row>
    <row r="15" spans="1:20" x14ac:dyDescent="0.25">
      <c r="A15" s="742"/>
      <c r="B15" s="538" t="s">
        <v>355</v>
      </c>
      <c r="C15" s="538" t="s">
        <v>272</v>
      </c>
      <c r="D15" s="547"/>
      <c r="E15" s="557" t="s">
        <v>130</v>
      </c>
      <c r="F15" s="237">
        <v>2567.9499999999998</v>
      </c>
      <c r="G15" s="237">
        <v>2681.53</v>
      </c>
      <c r="H15" s="238">
        <v>2686.67</v>
      </c>
      <c r="I15" s="237">
        <v>3360.26</v>
      </c>
      <c r="J15" s="238">
        <v>3375.32</v>
      </c>
      <c r="K15" s="237">
        <v>3390.18</v>
      </c>
      <c r="L15" s="239">
        <v>3512.58</v>
      </c>
      <c r="M15" s="237"/>
      <c r="N15" s="237"/>
      <c r="O15" s="237"/>
      <c r="P15" s="237"/>
      <c r="Q15" s="237"/>
      <c r="R15" s="237"/>
      <c r="S15" s="486"/>
      <c r="T15" s="487"/>
    </row>
    <row r="16" spans="1:20" x14ac:dyDescent="0.25">
      <c r="A16" s="742"/>
      <c r="B16" s="538" t="s">
        <v>356</v>
      </c>
      <c r="C16" s="538" t="s">
        <v>272</v>
      </c>
      <c r="D16" s="547"/>
      <c r="E16" s="557" t="s">
        <v>132</v>
      </c>
      <c r="F16" s="237">
        <v>2061.13</v>
      </c>
      <c r="G16" s="237">
        <v>2152.29</v>
      </c>
      <c r="H16" s="238">
        <v>2156.42</v>
      </c>
      <c r="I16" s="237">
        <v>2697.06</v>
      </c>
      <c r="J16" s="238">
        <v>2709.16</v>
      </c>
      <c r="K16" s="237">
        <v>2721.08</v>
      </c>
      <c r="L16" s="239">
        <v>2819.32</v>
      </c>
      <c r="M16" s="237"/>
      <c r="N16" s="237"/>
      <c r="O16" s="237"/>
      <c r="P16" s="237"/>
      <c r="Q16" s="237"/>
      <c r="R16" s="237"/>
      <c r="S16" s="486"/>
      <c r="T16" s="487"/>
    </row>
    <row r="17" spans="1:20" x14ac:dyDescent="0.25">
      <c r="A17" s="733"/>
      <c r="B17" s="538" t="s">
        <v>357</v>
      </c>
      <c r="C17" s="538" t="s">
        <v>272</v>
      </c>
      <c r="D17" s="547"/>
      <c r="E17" s="557" t="s">
        <v>229</v>
      </c>
      <c r="F17" s="237">
        <v>1539.79</v>
      </c>
      <c r="G17" s="237">
        <v>1607.89</v>
      </c>
      <c r="H17" s="238">
        <v>1610.98</v>
      </c>
      <c r="I17" s="237">
        <v>2014.87</v>
      </c>
      <c r="J17" s="238">
        <v>2023.9</v>
      </c>
      <c r="K17" s="237">
        <v>2032.82</v>
      </c>
      <c r="L17" s="239">
        <v>2106.21</v>
      </c>
      <c r="M17" s="237"/>
      <c r="N17" s="237"/>
      <c r="O17" s="237"/>
      <c r="P17" s="237"/>
      <c r="Q17" s="237"/>
      <c r="R17" s="237"/>
      <c r="S17" s="486"/>
      <c r="T17" s="487"/>
    </row>
    <row r="18" spans="1:20" x14ac:dyDescent="0.25">
      <c r="A18" s="732" t="s">
        <v>358</v>
      </c>
      <c r="B18" s="538" t="s">
        <v>359</v>
      </c>
      <c r="C18" s="538" t="s">
        <v>272</v>
      </c>
      <c r="D18" s="547"/>
      <c r="E18" s="557" t="s">
        <v>231</v>
      </c>
      <c r="F18" s="237">
        <v>3567.02</v>
      </c>
      <c r="G18" s="237">
        <v>3724.78</v>
      </c>
      <c r="H18" s="238">
        <v>3731.93</v>
      </c>
      <c r="I18" s="237">
        <v>4667.57</v>
      </c>
      <c r="J18" s="238">
        <v>4688.5</v>
      </c>
      <c r="K18" s="237">
        <v>4709.1499999999996</v>
      </c>
      <c r="L18" s="239">
        <v>4879.16</v>
      </c>
      <c r="M18" s="237"/>
      <c r="N18" s="237"/>
      <c r="O18" s="237"/>
      <c r="P18" s="237"/>
      <c r="Q18" s="237"/>
      <c r="R18" s="237"/>
      <c r="S18" s="486"/>
      <c r="T18" s="487"/>
    </row>
    <row r="19" spans="1:20" x14ac:dyDescent="0.25">
      <c r="A19" s="742"/>
      <c r="B19" s="538" t="s">
        <v>360</v>
      </c>
      <c r="C19" s="538" t="s">
        <v>272</v>
      </c>
      <c r="D19" s="547"/>
      <c r="E19" s="557" t="s">
        <v>135</v>
      </c>
      <c r="F19" s="237">
        <v>2142.04</v>
      </c>
      <c r="G19" s="237">
        <v>2236.7800000000002</v>
      </c>
      <c r="H19" s="238">
        <v>2241.0700000000002</v>
      </c>
      <c r="I19" s="237">
        <v>2802.94</v>
      </c>
      <c r="J19" s="238">
        <v>2815.5</v>
      </c>
      <c r="K19" s="237">
        <v>2827.9</v>
      </c>
      <c r="L19" s="239">
        <v>2929.99</v>
      </c>
      <c r="M19" s="237"/>
      <c r="N19" s="237"/>
      <c r="O19" s="237"/>
      <c r="P19" s="237"/>
      <c r="Q19" s="237"/>
      <c r="R19" s="237"/>
      <c r="S19" s="486"/>
      <c r="T19" s="487"/>
    </row>
    <row r="20" spans="1:20" ht="22.5" x14ac:dyDescent="0.25">
      <c r="A20" s="742"/>
      <c r="B20" s="538" t="s">
        <v>361</v>
      </c>
      <c r="C20" s="538" t="s">
        <v>272</v>
      </c>
      <c r="D20" s="547"/>
      <c r="E20" s="557" t="s">
        <v>137</v>
      </c>
      <c r="F20" s="237">
        <v>1383.94</v>
      </c>
      <c r="G20" s="237">
        <v>1445.15</v>
      </c>
      <c r="H20" s="238">
        <v>1447.92</v>
      </c>
      <c r="I20" s="237">
        <v>1810.94</v>
      </c>
      <c r="J20" s="238">
        <v>1819.06</v>
      </c>
      <c r="K20" s="237">
        <v>1827.06</v>
      </c>
      <c r="L20" s="239">
        <v>1893.03</v>
      </c>
      <c r="M20" s="237"/>
      <c r="N20" s="237"/>
      <c r="O20" s="237"/>
      <c r="P20" s="237"/>
      <c r="Q20" s="237"/>
      <c r="R20" s="237"/>
      <c r="S20" s="486"/>
      <c r="T20" s="487"/>
    </row>
    <row r="21" spans="1:20" x14ac:dyDescent="0.25">
      <c r="A21" s="742"/>
      <c r="B21" s="538" t="s">
        <v>235</v>
      </c>
      <c r="C21" s="538" t="s">
        <v>272</v>
      </c>
      <c r="D21" s="547"/>
      <c r="E21" s="557" t="s">
        <v>140</v>
      </c>
      <c r="F21" s="237">
        <v>1206.48</v>
      </c>
      <c r="G21" s="237">
        <v>1259.8399999999999</v>
      </c>
      <c r="H21" s="238">
        <v>1262.26</v>
      </c>
      <c r="I21" s="237">
        <v>1578.72</v>
      </c>
      <c r="J21" s="238">
        <v>1585.8</v>
      </c>
      <c r="K21" s="237">
        <v>1592.78</v>
      </c>
      <c r="L21" s="239">
        <v>1650.29</v>
      </c>
      <c r="M21" s="237"/>
      <c r="N21" s="237"/>
      <c r="O21" s="237"/>
      <c r="P21" s="237"/>
      <c r="Q21" s="237"/>
      <c r="R21" s="237"/>
      <c r="S21" s="486"/>
      <c r="T21" s="487"/>
    </row>
    <row r="22" spans="1:20" x14ac:dyDescent="0.25">
      <c r="A22" s="733"/>
      <c r="B22" s="539" t="s">
        <v>237</v>
      </c>
      <c r="C22" s="539" t="s">
        <v>272</v>
      </c>
      <c r="D22" s="548"/>
      <c r="E22" s="558" t="s">
        <v>238</v>
      </c>
      <c r="F22" s="240">
        <v>1229.6199999999999</v>
      </c>
      <c r="G22" s="240">
        <v>1284</v>
      </c>
      <c r="H22" s="241">
        <v>1286.47</v>
      </c>
      <c r="I22" s="240">
        <v>1609</v>
      </c>
      <c r="J22" s="241">
        <v>1616.22</v>
      </c>
      <c r="K22" s="240">
        <v>1623.33</v>
      </c>
      <c r="L22" s="242">
        <v>1681.94</v>
      </c>
      <c r="M22" s="491"/>
      <c r="N22" s="491"/>
      <c r="O22" s="491"/>
      <c r="P22" s="491"/>
      <c r="Q22" s="491"/>
      <c r="R22" s="491"/>
      <c r="S22" s="492"/>
      <c r="T22" s="493"/>
    </row>
    <row r="23" spans="1:20" x14ac:dyDescent="0.25">
      <c r="A23" s="732" t="s">
        <v>362</v>
      </c>
      <c r="B23" s="537" t="s">
        <v>363</v>
      </c>
      <c r="C23" s="537" t="s">
        <v>272</v>
      </c>
      <c r="D23" s="734"/>
      <c r="E23" s="734"/>
      <c r="F23" s="234">
        <v>2278.9499999999998</v>
      </c>
      <c r="G23" s="234">
        <v>2379.7399999999998</v>
      </c>
      <c r="H23" s="235">
        <v>2384.31</v>
      </c>
      <c r="I23" s="234">
        <v>2982.09</v>
      </c>
      <c r="J23" s="235">
        <v>2995.46</v>
      </c>
      <c r="K23" s="234">
        <v>3008.65</v>
      </c>
      <c r="L23" s="243">
        <v>3117.27</v>
      </c>
      <c r="M23" s="237"/>
      <c r="N23" s="237"/>
      <c r="O23" s="237"/>
      <c r="P23" s="237"/>
      <c r="Q23" s="237"/>
      <c r="R23" s="237"/>
      <c r="S23" s="486"/>
      <c r="T23" s="487"/>
    </row>
    <row r="24" spans="1:20" x14ac:dyDescent="0.25">
      <c r="A24" s="742"/>
      <c r="B24" s="538" t="s">
        <v>364</v>
      </c>
      <c r="C24" s="538" t="s">
        <v>272</v>
      </c>
      <c r="D24" s="743"/>
      <c r="E24" s="743"/>
      <c r="F24" s="237">
        <v>2411.4</v>
      </c>
      <c r="G24" s="237">
        <v>2518.0500000000002</v>
      </c>
      <c r="H24" s="238">
        <v>2522.89</v>
      </c>
      <c r="I24" s="237">
        <v>3155.4</v>
      </c>
      <c r="J24" s="238">
        <v>3169.55</v>
      </c>
      <c r="K24" s="237">
        <v>3183.51</v>
      </c>
      <c r="L24" s="244">
        <v>3298.44</v>
      </c>
      <c r="M24" s="237"/>
      <c r="N24" s="237"/>
      <c r="O24" s="237"/>
      <c r="P24" s="237"/>
      <c r="Q24" s="237"/>
      <c r="R24" s="237"/>
      <c r="S24" s="486"/>
      <c r="T24" s="487"/>
    </row>
    <row r="25" spans="1:20" x14ac:dyDescent="0.25">
      <c r="A25" s="742"/>
      <c r="B25" s="538" t="s">
        <v>365</v>
      </c>
      <c r="C25" s="538" t="s">
        <v>272</v>
      </c>
      <c r="D25" s="743"/>
      <c r="E25" s="743"/>
      <c r="F25" s="237">
        <v>3407.03</v>
      </c>
      <c r="G25" s="237">
        <v>3557.72</v>
      </c>
      <c r="H25" s="238">
        <v>3564.55</v>
      </c>
      <c r="I25" s="237">
        <v>4458.22</v>
      </c>
      <c r="J25" s="238">
        <v>4478.21</v>
      </c>
      <c r="K25" s="237">
        <v>4497.93</v>
      </c>
      <c r="L25" s="244">
        <v>4660.3100000000004</v>
      </c>
      <c r="M25" s="237"/>
      <c r="N25" s="237"/>
      <c r="O25" s="237"/>
      <c r="P25" s="237"/>
      <c r="Q25" s="237"/>
      <c r="R25" s="237"/>
      <c r="S25" s="486"/>
      <c r="T25" s="487"/>
    </row>
    <row r="26" spans="1:20" x14ac:dyDescent="0.25">
      <c r="A26" s="742"/>
      <c r="B26" s="538" t="s">
        <v>366</v>
      </c>
      <c r="C26" s="538" t="s">
        <v>272</v>
      </c>
      <c r="D26" s="743"/>
      <c r="E26" s="743"/>
      <c r="F26" s="237">
        <v>4468.55</v>
      </c>
      <c r="G26" s="237">
        <v>4666.1899999999996</v>
      </c>
      <c r="H26" s="238">
        <v>4675.1400000000003</v>
      </c>
      <c r="I26" s="237">
        <v>5847.26</v>
      </c>
      <c r="J26" s="238">
        <v>5873.48</v>
      </c>
      <c r="K26" s="237">
        <v>5899.34</v>
      </c>
      <c r="L26" s="244">
        <v>6112.32</v>
      </c>
      <c r="M26" s="237"/>
      <c r="N26" s="237"/>
      <c r="O26" s="237"/>
      <c r="P26" s="237"/>
      <c r="Q26" s="237"/>
      <c r="R26" s="237"/>
      <c r="S26" s="486"/>
      <c r="T26" s="487"/>
    </row>
    <row r="27" spans="1:20" x14ac:dyDescent="0.25">
      <c r="A27" s="733"/>
      <c r="B27" s="539" t="s">
        <v>367</v>
      </c>
      <c r="C27" s="539" t="s">
        <v>272</v>
      </c>
      <c r="D27" s="735"/>
      <c r="E27" s="735"/>
      <c r="F27" s="240">
        <v>7657.59</v>
      </c>
      <c r="G27" s="240">
        <v>7996.27</v>
      </c>
      <c r="H27" s="241">
        <v>8011.62</v>
      </c>
      <c r="I27" s="240">
        <v>10020.23</v>
      </c>
      <c r="J27" s="241">
        <v>10065.16</v>
      </c>
      <c r="K27" s="240">
        <v>10109.48</v>
      </c>
      <c r="L27" s="245">
        <v>10474.450000000001</v>
      </c>
      <c r="M27" s="491"/>
      <c r="N27" s="491"/>
      <c r="O27" s="491"/>
      <c r="P27" s="491"/>
      <c r="Q27" s="491"/>
      <c r="R27" s="491"/>
      <c r="S27" s="492"/>
      <c r="T27" s="493"/>
    </row>
    <row r="28" spans="1:20" x14ac:dyDescent="0.25">
      <c r="A28" s="732" t="s">
        <v>368</v>
      </c>
      <c r="B28" s="537" t="s">
        <v>369</v>
      </c>
      <c r="C28" s="537" t="s">
        <v>272</v>
      </c>
      <c r="D28" s="734"/>
      <c r="E28" s="734"/>
      <c r="F28" s="234">
        <v>1259.26</v>
      </c>
      <c r="G28" s="234">
        <v>1314.95</v>
      </c>
      <c r="H28" s="235">
        <v>1317.48</v>
      </c>
      <c r="I28" s="234">
        <v>1647.79</v>
      </c>
      <c r="J28" s="235">
        <v>1655.18</v>
      </c>
      <c r="K28" s="234">
        <v>1662.46</v>
      </c>
      <c r="L28" s="243">
        <v>1722.48</v>
      </c>
      <c r="M28" s="237"/>
      <c r="N28" s="237"/>
      <c r="O28" s="237"/>
      <c r="P28" s="237"/>
      <c r="Q28" s="237"/>
      <c r="R28" s="237"/>
      <c r="S28" s="486"/>
      <c r="T28" s="487"/>
    </row>
    <row r="29" spans="1:20" x14ac:dyDescent="0.25">
      <c r="A29" s="742"/>
      <c r="B29" s="538" t="s">
        <v>251</v>
      </c>
      <c r="C29" s="538" t="s">
        <v>272</v>
      </c>
      <c r="D29" s="743"/>
      <c r="E29" s="743"/>
      <c r="F29" s="246">
        <v>221.27</v>
      </c>
      <c r="G29" s="246">
        <v>231.06</v>
      </c>
      <c r="H29" s="247">
        <v>231.5</v>
      </c>
      <c r="I29" s="246">
        <v>289.54000000000002</v>
      </c>
      <c r="J29" s="247">
        <v>290.83999999999997</v>
      </c>
      <c r="K29" s="246">
        <v>292.12</v>
      </c>
      <c r="L29" s="248">
        <v>302.66000000000003</v>
      </c>
      <c r="M29" s="237"/>
      <c r="N29" s="237"/>
      <c r="O29" s="237"/>
      <c r="P29" s="237"/>
      <c r="Q29" s="237"/>
      <c r="R29" s="237"/>
      <c r="S29" s="486"/>
      <c r="T29" s="487"/>
    </row>
    <row r="30" spans="1:20" x14ac:dyDescent="0.25">
      <c r="A30" s="742"/>
      <c r="B30" s="538" t="s">
        <v>370</v>
      </c>
      <c r="C30" s="538" t="s">
        <v>272</v>
      </c>
      <c r="D30" s="743"/>
      <c r="E30" s="743"/>
      <c r="F30" s="237">
        <v>1154.81</v>
      </c>
      <c r="G30" s="237">
        <v>1205.8900000000001</v>
      </c>
      <c r="H30" s="238">
        <v>1208.2</v>
      </c>
      <c r="I30" s="237">
        <v>1511.11</v>
      </c>
      <c r="J30" s="238">
        <v>1517.89</v>
      </c>
      <c r="K30" s="237">
        <v>1524.57</v>
      </c>
      <c r="L30" s="244">
        <v>1579.61</v>
      </c>
      <c r="M30" s="237"/>
      <c r="N30" s="237"/>
      <c r="O30" s="237"/>
      <c r="P30" s="237"/>
      <c r="Q30" s="237"/>
      <c r="R30" s="237"/>
      <c r="S30" s="486"/>
      <c r="T30" s="487"/>
    </row>
    <row r="31" spans="1:20" ht="22.5" x14ac:dyDescent="0.25">
      <c r="A31" s="742"/>
      <c r="B31" s="538" t="s">
        <v>271</v>
      </c>
      <c r="C31" s="538" t="s">
        <v>272</v>
      </c>
      <c r="D31" s="743"/>
      <c r="E31" s="743"/>
      <c r="F31" s="237">
        <v>9182.69</v>
      </c>
      <c r="G31" s="237">
        <v>9588.82</v>
      </c>
      <c r="H31" s="238">
        <v>9607.23</v>
      </c>
      <c r="I31" s="237">
        <v>12015.88</v>
      </c>
      <c r="J31" s="238">
        <v>12069.76</v>
      </c>
      <c r="K31" s="237">
        <v>12122.9</v>
      </c>
      <c r="L31" s="244">
        <v>12560.56</v>
      </c>
      <c r="M31" s="237"/>
      <c r="N31" s="237"/>
      <c r="O31" s="237"/>
      <c r="P31" s="237"/>
      <c r="Q31" s="237"/>
      <c r="R31" s="237"/>
      <c r="S31" s="486"/>
      <c r="T31" s="487"/>
    </row>
    <row r="32" spans="1:20" x14ac:dyDescent="0.25">
      <c r="A32" s="742"/>
      <c r="B32" s="538" t="s">
        <v>371</v>
      </c>
      <c r="C32" s="538" t="s">
        <v>272</v>
      </c>
      <c r="D32" s="743"/>
      <c r="E32" s="743"/>
      <c r="F32" s="237">
        <v>5773.32</v>
      </c>
      <c r="G32" s="237">
        <v>6028.66</v>
      </c>
      <c r="H32" s="238">
        <v>6040.24</v>
      </c>
      <c r="I32" s="237">
        <v>7554.6</v>
      </c>
      <c r="J32" s="238">
        <v>7588.47</v>
      </c>
      <c r="K32" s="237">
        <v>7621.88</v>
      </c>
      <c r="L32" s="244">
        <v>7897.05</v>
      </c>
      <c r="M32" s="237"/>
      <c r="N32" s="237"/>
      <c r="O32" s="237"/>
      <c r="P32" s="237"/>
      <c r="Q32" s="237"/>
      <c r="R32" s="237"/>
      <c r="S32" s="486"/>
      <c r="T32" s="487"/>
    </row>
    <row r="33" spans="1:20" x14ac:dyDescent="0.25">
      <c r="A33" s="742"/>
      <c r="B33" s="538" t="s">
        <v>372</v>
      </c>
      <c r="C33" s="538" t="s">
        <v>272</v>
      </c>
      <c r="D33" s="743"/>
      <c r="E33" s="743"/>
      <c r="F33" s="237">
        <v>1786.38</v>
      </c>
      <c r="G33" s="237">
        <v>1865.39</v>
      </c>
      <c r="H33" s="238">
        <v>1868.97</v>
      </c>
      <c r="I33" s="237">
        <v>2337.54</v>
      </c>
      <c r="J33" s="238">
        <v>2348.02</v>
      </c>
      <c r="K33" s="237">
        <v>2358.36</v>
      </c>
      <c r="L33" s="244">
        <v>2443.5</v>
      </c>
      <c r="M33" s="237"/>
      <c r="N33" s="237"/>
      <c r="O33" s="237"/>
      <c r="P33" s="237"/>
      <c r="Q33" s="237"/>
      <c r="R33" s="237"/>
      <c r="S33" s="486"/>
      <c r="T33" s="487"/>
    </row>
    <row r="34" spans="1:20" x14ac:dyDescent="0.25">
      <c r="A34" s="742"/>
      <c r="B34" s="538" t="s">
        <v>373</v>
      </c>
      <c r="C34" s="538" t="s">
        <v>272</v>
      </c>
      <c r="D34" s="743"/>
      <c r="E34" s="743"/>
      <c r="F34" s="237">
        <v>2760.76</v>
      </c>
      <c r="G34" s="237">
        <v>2882.86</v>
      </c>
      <c r="H34" s="238">
        <v>2888.4</v>
      </c>
      <c r="I34" s="237">
        <v>3612.55</v>
      </c>
      <c r="J34" s="238">
        <v>3628.75</v>
      </c>
      <c r="K34" s="237">
        <v>3644.73</v>
      </c>
      <c r="L34" s="244">
        <v>3776.31</v>
      </c>
      <c r="M34" s="237"/>
      <c r="N34" s="237"/>
      <c r="O34" s="237"/>
      <c r="P34" s="237"/>
      <c r="Q34" s="237"/>
      <c r="R34" s="237"/>
      <c r="S34" s="486"/>
      <c r="T34" s="487"/>
    </row>
    <row r="35" spans="1:20" x14ac:dyDescent="0.25">
      <c r="A35" s="733"/>
      <c r="B35" s="539" t="s">
        <v>374</v>
      </c>
      <c r="C35" s="539" t="s">
        <v>272</v>
      </c>
      <c r="D35" s="735"/>
      <c r="E35" s="735"/>
      <c r="F35" s="240">
        <v>2192.37</v>
      </c>
      <c r="G35" s="240">
        <v>2289.33</v>
      </c>
      <c r="H35" s="241">
        <v>2293.73</v>
      </c>
      <c r="I35" s="240">
        <v>2868.8</v>
      </c>
      <c r="J35" s="241">
        <v>2881.66</v>
      </c>
      <c r="K35" s="240">
        <v>2894.35</v>
      </c>
      <c r="L35" s="245">
        <v>2998.84</v>
      </c>
      <c r="M35" s="491"/>
      <c r="N35" s="491"/>
      <c r="O35" s="491"/>
      <c r="P35" s="491"/>
      <c r="Q35" s="491"/>
      <c r="R35" s="491"/>
      <c r="S35" s="492"/>
      <c r="T35" s="493"/>
    </row>
    <row r="36" spans="1:20" x14ac:dyDescent="0.25">
      <c r="A36" s="732" t="s">
        <v>375</v>
      </c>
      <c r="B36" s="537" t="s">
        <v>376</v>
      </c>
      <c r="C36" s="537" t="s">
        <v>272</v>
      </c>
      <c r="D36" s="734"/>
      <c r="E36" s="734"/>
      <c r="F36" s="234">
        <v>1279.3399999999999</v>
      </c>
      <c r="G36" s="234">
        <v>1335.92</v>
      </c>
      <c r="H36" s="235">
        <v>1338.49</v>
      </c>
      <c r="I36" s="234">
        <v>1674.06</v>
      </c>
      <c r="J36" s="235">
        <v>1681.57</v>
      </c>
      <c r="K36" s="234">
        <v>1688.97</v>
      </c>
      <c r="L36" s="236">
        <v>1749.95</v>
      </c>
      <c r="M36" s="237"/>
      <c r="N36" s="237"/>
      <c r="O36" s="237"/>
      <c r="P36" s="237"/>
      <c r="Q36" s="237"/>
      <c r="R36" s="237"/>
      <c r="S36" s="486"/>
      <c r="T36" s="487"/>
    </row>
    <row r="37" spans="1:20" x14ac:dyDescent="0.25">
      <c r="A37" s="742"/>
      <c r="B37" s="538" t="s">
        <v>377</v>
      </c>
      <c r="C37" s="538" t="s">
        <v>272</v>
      </c>
      <c r="D37" s="743"/>
      <c r="E37" s="743"/>
      <c r="F37" s="237">
        <v>1467.32</v>
      </c>
      <c r="G37" s="237">
        <v>1532.22</v>
      </c>
      <c r="H37" s="238">
        <v>1535.16</v>
      </c>
      <c r="I37" s="237">
        <v>1920.04</v>
      </c>
      <c r="J37" s="238">
        <v>1928.65</v>
      </c>
      <c r="K37" s="237">
        <v>1937.14</v>
      </c>
      <c r="L37" s="239">
        <v>2007.08</v>
      </c>
      <c r="M37" s="237"/>
      <c r="N37" s="237"/>
      <c r="O37" s="237"/>
      <c r="P37" s="237"/>
      <c r="Q37" s="237"/>
      <c r="R37" s="237"/>
      <c r="S37" s="486"/>
      <c r="T37" s="487"/>
    </row>
    <row r="38" spans="1:20" x14ac:dyDescent="0.25">
      <c r="A38" s="733"/>
      <c r="B38" s="539" t="s">
        <v>378</v>
      </c>
      <c r="C38" s="539" t="s">
        <v>272</v>
      </c>
      <c r="D38" s="735"/>
      <c r="E38" s="735"/>
      <c r="F38" s="240">
        <v>1283.9000000000001</v>
      </c>
      <c r="G38" s="240">
        <v>1340.68</v>
      </c>
      <c r="H38" s="241">
        <v>1343.26</v>
      </c>
      <c r="I38" s="240">
        <v>1680.03</v>
      </c>
      <c r="J38" s="241">
        <v>1687.56</v>
      </c>
      <c r="K38" s="240">
        <v>1694.99</v>
      </c>
      <c r="L38" s="242">
        <v>1756.19</v>
      </c>
      <c r="M38" s="491"/>
      <c r="N38" s="491"/>
      <c r="O38" s="491"/>
      <c r="P38" s="491"/>
      <c r="Q38" s="491"/>
      <c r="R38" s="491"/>
      <c r="S38" s="492"/>
      <c r="T38" s="493"/>
    </row>
    <row r="39" spans="1:20" x14ac:dyDescent="0.25">
      <c r="A39" s="732" t="s">
        <v>379</v>
      </c>
      <c r="B39" s="537" t="s">
        <v>380</v>
      </c>
      <c r="C39" s="537" t="s">
        <v>272</v>
      </c>
      <c r="D39" s="734"/>
      <c r="E39" s="734"/>
      <c r="F39" s="249">
        <v>550.22</v>
      </c>
      <c r="G39" s="249">
        <v>574.55999999999995</v>
      </c>
      <c r="H39" s="250">
        <v>575.66</v>
      </c>
      <c r="I39" s="249">
        <v>719.98</v>
      </c>
      <c r="J39" s="250">
        <v>723.21</v>
      </c>
      <c r="K39" s="249">
        <v>726.4</v>
      </c>
      <c r="L39" s="251">
        <v>752.62</v>
      </c>
      <c r="M39" s="237"/>
      <c r="N39" s="237"/>
      <c r="O39" s="237"/>
      <c r="P39" s="237"/>
      <c r="Q39" s="237"/>
      <c r="R39" s="237"/>
      <c r="S39" s="486"/>
      <c r="T39" s="487"/>
    </row>
    <row r="40" spans="1:20" x14ac:dyDescent="0.25">
      <c r="A40" s="733"/>
      <c r="B40" s="539" t="s">
        <v>381</v>
      </c>
      <c r="C40" s="539" t="s">
        <v>272</v>
      </c>
      <c r="D40" s="735"/>
      <c r="E40" s="735"/>
      <c r="F40" s="252">
        <v>458.53</v>
      </c>
      <c r="G40" s="252">
        <v>478.81</v>
      </c>
      <c r="H40" s="253">
        <v>479.73</v>
      </c>
      <c r="I40" s="252">
        <v>600</v>
      </c>
      <c r="J40" s="253">
        <v>602.69000000000005</v>
      </c>
      <c r="K40" s="252">
        <v>605.35</v>
      </c>
      <c r="L40" s="254">
        <v>627.20000000000005</v>
      </c>
      <c r="M40" s="491"/>
      <c r="N40" s="491"/>
      <c r="O40" s="491"/>
      <c r="P40" s="491"/>
      <c r="Q40" s="491"/>
      <c r="R40" s="491"/>
      <c r="S40" s="492"/>
      <c r="T40" s="493"/>
    </row>
    <row r="41" spans="1:20" ht="26.25" customHeight="1" x14ac:dyDescent="0.25">
      <c r="A41" s="736" t="s">
        <v>491</v>
      </c>
      <c r="B41" s="566" t="s">
        <v>498</v>
      </c>
      <c r="C41" s="739"/>
      <c r="D41" s="559">
        <v>0.84040000000000004</v>
      </c>
      <c r="E41" s="739"/>
      <c r="F41" s="724" t="s">
        <v>492</v>
      </c>
      <c r="G41" s="725"/>
      <c r="H41" s="725"/>
      <c r="I41" s="560"/>
      <c r="J41" s="560"/>
      <c r="K41" s="255"/>
      <c r="L41" s="255"/>
      <c r="M41" s="256"/>
    </row>
    <row r="42" spans="1:20" ht="26.25" customHeight="1" x14ac:dyDescent="0.25">
      <c r="A42" s="737"/>
      <c r="B42" s="567" t="s">
        <v>499</v>
      </c>
      <c r="C42" s="740"/>
      <c r="D42" s="561">
        <v>0.2</v>
      </c>
      <c r="E42" s="740"/>
      <c r="F42" s="726"/>
      <c r="G42" s="727"/>
      <c r="H42" s="727"/>
      <c r="I42" s="562"/>
      <c r="J42" s="562"/>
      <c r="K42" s="257"/>
      <c r="L42" s="257"/>
      <c r="M42" s="256"/>
    </row>
    <row r="43" spans="1:20" ht="26.25" customHeight="1" x14ac:dyDescent="0.25">
      <c r="A43" s="737"/>
      <c r="B43" s="563" t="s">
        <v>493</v>
      </c>
      <c r="C43" s="740"/>
      <c r="D43" s="561">
        <v>0.3</v>
      </c>
      <c r="E43" s="740"/>
      <c r="F43" s="728" t="s">
        <v>492</v>
      </c>
      <c r="G43" s="729"/>
      <c r="H43" s="729"/>
      <c r="I43" s="562"/>
      <c r="J43" s="562"/>
      <c r="K43" s="257"/>
      <c r="L43" s="257"/>
      <c r="M43" s="256"/>
    </row>
    <row r="44" spans="1:20" ht="26.25" customHeight="1" x14ac:dyDescent="0.25">
      <c r="A44" s="737"/>
      <c r="B44" s="563" t="s">
        <v>494</v>
      </c>
      <c r="C44" s="740"/>
      <c r="D44" s="561">
        <v>0.12</v>
      </c>
      <c r="E44" s="740"/>
      <c r="F44" s="728" t="s">
        <v>495</v>
      </c>
      <c r="G44" s="729"/>
      <c r="H44" s="729"/>
      <c r="I44" s="729"/>
      <c r="J44" s="729"/>
      <c r="K44" s="257"/>
      <c r="L44" s="257"/>
      <c r="M44" s="256"/>
    </row>
    <row r="45" spans="1:20" ht="30" customHeight="1" x14ac:dyDescent="0.25">
      <c r="A45" s="738"/>
      <c r="B45" s="564" t="s">
        <v>496</v>
      </c>
      <c r="C45" s="741"/>
      <c r="D45" s="565">
        <v>0.16619999999999999</v>
      </c>
      <c r="E45" s="741"/>
      <c r="F45" s="730" t="s">
        <v>497</v>
      </c>
      <c r="G45" s="731"/>
      <c r="H45" s="731"/>
      <c r="I45" s="731"/>
      <c r="J45" s="731"/>
      <c r="K45" s="258"/>
      <c r="L45" s="258"/>
      <c r="M45" s="259"/>
    </row>
    <row r="46" spans="1:20" ht="18.75" customHeight="1" x14ac:dyDescent="0.25">
      <c r="A46" s="568" t="s">
        <v>500</v>
      </c>
      <c r="B46" s="711" t="s">
        <v>501</v>
      </c>
      <c r="C46" s="711"/>
      <c r="D46" s="711"/>
      <c r="E46" s="711"/>
      <c r="F46" s="711"/>
      <c r="G46" s="711"/>
      <c r="H46" s="711"/>
      <c r="I46" s="711"/>
      <c r="J46" s="711"/>
      <c r="K46" s="711"/>
      <c r="L46" s="711"/>
      <c r="M46" s="712"/>
    </row>
    <row r="47" spans="1:20" ht="18.75" customHeight="1" x14ac:dyDescent="0.25">
      <c r="A47" s="569"/>
      <c r="B47" s="709" t="s">
        <v>502</v>
      </c>
      <c r="C47" s="709"/>
      <c r="D47" s="709"/>
      <c r="E47" s="709"/>
      <c r="F47" s="709"/>
      <c r="G47" s="709"/>
      <c r="H47" s="709"/>
      <c r="I47" s="709"/>
      <c r="J47" s="709"/>
      <c r="K47" s="709"/>
      <c r="L47" s="709"/>
      <c r="M47" s="710"/>
    </row>
    <row r="48" spans="1:20" ht="18.75" customHeight="1" x14ac:dyDescent="0.25">
      <c r="A48" s="569"/>
      <c r="B48" s="707" t="s">
        <v>503</v>
      </c>
      <c r="C48" s="707"/>
      <c r="D48" s="707"/>
      <c r="E48" s="707"/>
      <c r="F48" s="707"/>
      <c r="G48" s="707"/>
      <c r="H48" s="707"/>
      <c r="I48" s="707"/>
      <c r="J48" s="707"/>
      <c r="K48" s="707"/>
      <c r="L48" s="707"/>
      <c r="M48" s="708"/>
    </row>
    <row r="49" spans="1:13" ht="18.75" customHeight="1" x14ac:dyDescent="0.25">
      <c r="A49" s="569"/>
      <c r="B49" s="709" t="s">
        <v>504</v>
      </c>
      <c r="C49" s="709"/>
      <c r="D49" s="709"/>
      <c r="E49" s="709"/>
      <c r="F49" s="709"/>
      <c r="G49" s="709"/>
      <c r="H49" s="709"/>
      <c r="I49" s="709"/>
      <c r="J49" s="709"/>
      <c r="K49" s="709"/>
      <c r="L49" s="709"/>
      <c r="M49" s="710"/>
    </row>
    <row r="50" spans="1:13" ht="30.75" customHeight="1" x14ac:dyDescent="0.25">
      <c r="A50" s="569"/>
      <c r="B50" s="707" t="s">
        <v>505</v>
      </c>
      <c r="C50" s="707"/>
      <c r="D50" s="707"/>
      <c r="E50" s="707"/>
      <c r="F50" s="707"/>
      <c r="G50" s="707"/>
      <c r="H50" s="707"/>
      <c r="I50" s="707"/>
      <c r="J50" s="707"/>
      <c r="K50" s="707"/>
      <c r="L50" s="707"/>
      <c r="M50" s="708"/>
    </row>
    <row r="51" spans="1:13" ht="30.75" customHeight="1" x14ac:dyDescent="0.25">
      <c r="A51" s="569"/>
      <c r="B51" s="707" t="s">
        <v>506</v>
      </c>
      <c r="C51" s="707"/>
      <c r="D51" s="707"/>
      <c r="E51" s="707"/>
      <c r="F51" s="707"/>
      <c r="G51" s="707"/>
      <c r="H51" s="707"/>
      <c r="I51" s="707"/>
      <c r="J51" s="707"/>
      <c r="K51" s="707"/>
      <c r="L51" s="707"/>
      <c r="M51" s="708"/>
    </row>
    <row r="52" spans="1:13" ht="43.5" customHeight="1" x14ac:dyDescent="0.25">
      <c r="A52" s="569"/>
      <c r="B52" s="707" t="s">
        <v>507</v>
      </c>
      <c r="C52" s="707"/>
      <c r="D52" s="707"/>
      <c r="E52" s="707"/>
      <c r="F52" s="707"/>
      <c r="G52" s="707"/>
      <c r="H52" s="707"/>
      <c r="I52" s="707"/>
      <c r="J52" s="707"/>
      <c r="K52" s="707"/>
      <c r="L52" s="707"/>
      <c r="M52" s="708"/>
    </row>
    <row r="53" spans="1:13" ht="55.5" customHeight="1" x14ac:dyDescent="0.25">
      <c r="A53" s="569"/>
      <c r="B53" s="707" t="s">
        <v>508</v>
      </c>
      <c r="C53" s="707"/>
      <c r="D53" s="707"/>
      <c r="E53" s="707"/>
      <c r="F53" s="707"/>
      <c r="G53" s="707"/>
      <c r="H53" s="707"/>
      <c r="I53" s="707"/>
      <c r="J53" s="707"/>
      <c r="K53" s="707"/>
      <c r="L53" s="707"/>
      <c r="M53" s="708"/>
    </row>
    <row r="54" spans="1:13" ht="20.25" customHeight="1" x14ac:dyDescent="0.25">
      <c r="A54" s="569"/>
      <c r="B54" s="707" t="s">
        <v>509</v>
      </c>
      <c r="C54" s="707"/>
      <c r="D54" s="707"/>
      <c r="E54" s="707"/>
      <c r="F54" s="707"/>
      <c r="G54" s="707"/>
      <c r="H54" s="707"/>
      <c r="I54" s="707"/>
      <c r="J54" s="707"/>
      <c r="K54" s="707"/>
      <c r="L54" s="707"/>
      <c r="M54" s="708"/>
    </row>
    <row r="55" spans="1:13" ht="45" customHeight="1" x14ac:dyDescent="0.25">
      <c r="A55" s="570"/>
      <c r="B55" s="716" t="s">
        <v>510</v>
      </c>
      <c r="C55" s="716"/>
      <c r="D55" s="716"/>
      <c r="E55" s="716"/>
      <c r="F55" s="716"/>
      <c r="G55" s="716"/>
      <c r="H55" s="716"/>
      <c r="I55" s="716"/>
      <c r="J55" s="716"/>
      <c r="K55" s="716"/>
      <c r="L55" s="716"/>
      <c r="M55" s="717"/>
    </row>
    <row r="56" spans="1:13" x14ac:dyDescent="0.25">
      <c r="A56" s="718" t="s">
        <v>511</v>
      </c>
      <c r="B56" s="719"/>
      <c r="C56" s="719"/>
      <c r="D56" s="719"/>
      <c r="E56" s="719"/>
      <c r="F56" s="719"/>
      <c r="G56" s="719"/>
      <c r="H56" s="719"/>
      <c r="I56" s="719"/>
      <c r="J56" s="719"/>
      <c r="K56" s="719"/>
      <c r="L56" s="719"/>
      <c r="M56" s="720"/>
    </row>
    <row r="57" spans="1:13" x14ac:dyDescent="0.25">
      <c r="A57" s="713" t="s">
        <v>512</v>
      </c>
      <c r="B57" s="714"/>
      <c r="C57" s="714"/>
      <c r="D57" s="714"/>
      <c r="E57" s="714"/>
      <c r="F57" s="714"/>
      <c r="G57" s="714"/>
      <c r="H57" s="714"/>
      <c r="I57" s="714"/>
      <c r="J57" s="714"/>
      <c r="K57" s="714"/>
      <c r="L57" s="714"/>
      <c r="M57" s="715"/>
    </row>
    <row r="58" spans="1:13" x14ac:dyDescent="0.25">
      <c r="A58" s="713" t="s">
        <v>513</v>
      </c>
      <c r="B58" s="714"/>
      <c r="C58" s="714"/>
      <c r="D58" s="714"/>
      <c r="E58" s="714"/>
      <c r="F58" s="714"/>
      <c r="G58" s="714"/>
      <c r="H58" s="714"/>
      <c r="I58" s="714"/>
      <c r="J58" s="714"/>
      <c r="K58" s="714"/>
      <c r="L58" s="714"/>
      <c r="M58" s="715"/>
    </row>
    <row r="59" spans="1:13" x14ac:dyDescent="0.25">
      <c r="A59" s="713" t="s">
        <v>514</v>
      </c>
      <c r="B59" s="714"/>
      <c r="C59" s="714"/>
      <c r="D59" s="714"/>
      <c r="E59" s="714"/>
      <c r="F59" s="714"/>
      <c r="G59" s="714"/>
      <c r="H59" s="714"/>
      <c r="I59" s="714"/>
      <c r="J59" s="714"/>
      <c r="K59" s="714"/>
      <c r="L59" s="714"/>
      <c r="M59" s="715"/>
    </row>
    <row r="60" spans="1:13" x14ac:dyDescent="0.25">
      <c r="A60" s="713" t="s">
        <v>515</v>
      </c>
      <c r="B60" s="714"/>
      <c r="C60" s="714"/>
      <c r="D60" s="714"/>
      <c r="E60" s="714"/>
      <c r="F60" s="714"/>
      <c r="G60" s="714"/>
      <c r="H60" s="714"/>
      <c r="I60" s="714"/>
      <c r="J60" s="714"/>
      <c r="K60" s="714"/>
      <c r="L60" s="714"/>
      <c r="M60" s="715"/>
    </row>
    <row r="61" spans="1:13" x14ac:dyDescent="0.25">
      <c r="A61" s="713" t="s">
        <v>516</v>
      </c>
      <c r="B61" s="714"/>
      <c r="C61" s="714"/>
      <c r="D61" s="714"/>
      <c r="E61" s="714"/>
      <c r="F61" s="714"/>
      <c r="G61" s="714"/>
      <c r="H61" s="714"/>
      <c r="I61" s="714"/>
      <c r="J61" s="714"/>
      <c r="K61" s="714"/>
      <c r="L61" s="714"/>
      <c r="M61" s="715"/>
    </row>
    <row r="62" spans="1:13" x14ac:dyDescent="0.25">
      <c r="A62" s="713" t="s">
        <v>517</v>
      </c>
      <c r="B62" s="714"/>
      <c r="C62" s="714"/>
      <c r="D62" s="714"/>
      <c r="E62" s="714"/>
      <c r="F62" s="714"/>
      <c r="G62" s="714"/>
      <c r="H62" s="714"/>
      <c r="I62" s="714"/>
      <c r="J62" s="714"/>
      <c r="K62" s="714"/>
      <c r="L62" s="714"/>
      <c r="M62" s="715"/>
    </row>
    <row r="63" spans="1:13" x14ac:dyDescent="0.25">
      <c r="A63" s="713" t="s">
        <v>518</v>
      </c>
      <c r="B63" s="714"/>
      <c r="C63" s="714"/>
      <c r="D63" s="714"/>
      <c r="E63" s="714"/>
      <c r="F63" s="714"/>
      <c r="G63" s="714"/>
      <c r="H63" s="714"/>
      <c r="I63" s="714"/>
      <c r="J63" s="714"/>
      <c r="K63" s="714"/>
      <c r="L63" s="714"/>
      <c r="M63" s="715"/>
    </row>
    <row r="64" spans="1:13" x14ac:dyDescent="0.25">
      <c r="A64" s="713" t="s">
        <v>519</v>
      </c>
      <c r="B64" s="714"/>
      <c r="C64" s="714"/>
      <c r="D64" s="714"/>
      <c r="E64" s="714"/>
      <c r="F64" s="714"/>
      <c r="G64" s="714"/>
      <c r="H64" s="714"/>
      <c r="I64" s="714"/>
      <c r="J64" s="714"/>
      <c r="K64" s="714"/>
      <c r="L64" s="714"/>
      <c r="M64" s="715"/>
    </row>
    <row r="65" spans="1:13" x14ac:dyDescent="0.25">
      <c r="A65" s="713" t="s">
        <v>520</v>
      </c>
      <c r="B65" s="714"/>
      <c r="C65" s="714"/>
      <c r="D65" s="714"/>
      <c r="E65" s="714"/>
      <c r="F65" s="714"/>
      <c r="G65" s="714"/>
      <c r="H65" s="714"/>
      <c r="I65" s="714"/>
      <c r="J65" s="714"/>
      <c r="K65" s="714"/>
      <c r="L65" s="714"/>
      <c r="M65" s="715"/>
    </row>
    <row r="66" spans="1:13" x14ac:dyDescent="0.25">
      <c r="A66" s="713" t="s">
        <v>521</v>
      </c>
      <c r="B66" s="714"/>
      <c r="C66" s="714"/>
      <c r="D66" s="714"/>
      <c r="E66" s="714"/>
      <c r="F66" s="714"/>
      <c r="G66" s="714"/>
      <c r="H66" s="714"/>
      <c r="I66" s="714"/>
      <c r="J66" s="714"/>
      <c r="K66" s="714"/>
      <c r="L66" s="714"/>
      <c r="M66" s="715"/>
    </row>
    <row r="67" spans="1:13" x14ac:dyDescent="0.25">
      <c r="A67" s="713" t="s">
        <v>522</v>
      </c>
      <c r="B67" s="714"/>
      <c r="C67" s="714"/>
      <c r="D67" s="714"/>
      <c r="E67" s="714"/>
      <c r="F67" s="714"/>
      <c r="G67" s="714"/>
      <c r="H67" s="714"/>
      <c r="I67" s="714"/>
      <c r="J67" s="714"/>
      <c r="K67" s="714"/>
      <c r="L67" s="714"/>
      <c r="M67" s="715"/>
    </row>
    <row r="68" spans="1:13" x14ac:dyDescent="0.25">
      <c r="A68" s="721" t="s">
        <v>523</v>
      </c>
      <c r="B68" s="722"/>
      <c r="C68" s="722"/>
      <c r="D68" s="722"/>
      <c r="E68" s="722"/>
      <c r="F68" s="722"/>
      <c r="G68" s="722"/>
      <c r="H68" s="722"/>
      <c r="I68" s="722"/>
      <c r="J68" s="722"/>
      <c r="K68" s="722"/>
      <c r="L68" s="722"/>
      <c r="M68" s="723"/>
    </row>
  </sheetData>
  <mergeCells count="53">
    <mergeCell ref="E23:E27"/>
    <mergeCell ref="A1:M1"/>
    <mergeCell ref="A2:M2"/>
    <mergeCell ref="A3:M3"/>
    <mergeCell ref="A4:A6"/>
    <mergeCell ref="B4:B6"/>
    <mergeCell ref="C4:C6"/>
    <mergeCell ref="D4:D6"/>
    <mergeCell ref="A7:A12"/>
    <mergeCell ref="A13:A17"/>
    <mergeCell ref="A18:A22"/>
    <mergeCell ref="A23:A27"/>
    <mergeCell ref="D23:D27"/>
    <mergeCell ref="A28:A35"/>
    <mergeCell ref="D28:D35"/>
    <mergeCell ref="E28:E35"/>
    <mergeCell ref="A36:A38"/>
    <mergeCell ref="D36:D38"/>
    <mergeCell ref="E36:E38"/>
    <mergeCell ref="A39:A40"/>
    <mergeCell ref="D39:D40"/>
    <mergeCell ref="E39:E40"/>
    <mergeCell ref="A41:A45"/>
    <mergeCell ref="C41:C45"/>
    <mergeCell ref="E41:E45"/>
    <mergeCell ref="F41:H41"/>
    <mergeCell ref="F42:H42"/>
    <mergeCell ref="F43:H43"/>
    <mergeCell ref="F44:J44"/>
    <mergeCell ref="F45:J45"/>
    <mergeCell ref="A67:M67"/>
    <mergeCell ref="A68:M68"/>
    <mergeCell ref="A59:M59"/>
    <mergeCell ref="A60:M60"/>
    <mergeCell ref="A61:M61"/>
    <mergeCell ref="A62:M62"/>
    <mergeCell ref="A63:M63"/>
    <mergeCell ref="A64:M64"/>
    <mergeCell ref="B48:M48"/>
    <mergeCell ref="B47:M47"/>
    <mergeCell ref="B46:M46"/>
    <mergeCell ref="A65:M65"/>
    <mergeCell ref="A66:M66"/>
    <mergeCell ref="A58:M58"/>
    <mergeCell ref="B52:M52"/>
    <mergeCell ref="B53:M53"/>
    <mergeCell ref="B55:M55"/>
    <mergeCell ref="A56:M56"/>
    <mergeCell ref="A57:M57"/>
    <mergeCell ref="B54:M54"/>
    <mergeCell ref="B51:M51"/>
    <mergeCell ref="B50:M50"/>
    <mergeCell ref="B49:M49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117"/>
  <sheetViews>
    <sheetView view="pageBreakPreview" topLeftCell="A90" zoomScale="85" zoomScaleNormal="70" zoomScaleSheetLayoutView="85" workbookViewId="0">
      <selection activeCell="H89" sqref="H89"/>
    </sheetView>
  </sheetViews>
  <sheetFormatPr defaultColWidth="9.140625" defaultRowHeight="12.75" x14ac:dyDescent="0.2"/>
  <cols>
    <col min="1" max="1" width="7" style="110" customWidth="1"/>
    <col min="2" max="2" width="48.42578125" style="110" bestFit="1" customWidth="1"/>
    <col min="3" max="3" width="34" style="110" bestFit="1" customWidth="1"/>
    <col min="4" max="4" width="24.7109375" style="110" bestFit="1" customWidth="1"/>
    <col min="5" max="5" width="16.42578125" style="110" customWidth="1"/>
    <col min="6" max="8" width="15" style="110" customWidth="1"/>
    <col min="9" max="9" width="9.140625" style="110"/>
    <col min="10" max="10" width="15" style="110" bestFit="1" customWidth="1"/>
    <col min="11" max="11" width="12.85546875" style="110" bestFit="1" customWidth="1"/>
    <col min="12" max="12" width="9.42578125" style="110" bestFit="1" customWidth="1"/>
    <col min="13" max="16384" width="9.140625" style="110"/>
  </cols>
  <sheetData>
    <row r="1" spans="1:18" ht="15" customHeight="1" x14ac:dyDescent="0.25">
      <c r="A1" s="777" t="s">
        <v>203</v>
      </c>
      <c r="B1" s="777"/>
      <c r="C1" s="777"/>
      <c r="D1" s="777"/>
      <c r="E1" s="777"/>
      <c r="F1" s="777"/>
      <c r="G1" s="777"/>
    </row>
    <row r="2" spans="1:18" ht="6" customHeight="1" x14ac:dyDescent="0.25">
      <c r="A2" s="111"/>
      <c r="B2" s="111"/>
      <c r="C2" s="111"/>
      <c r="D2" s="111"/>
      <c r="E2" s="111"/>
      <c r="F2" s="111"/>
      <c r="G2" s="111"/>
    </row>
    <row r="3" spans="1:18" ht="15" customHeight="1" x14ac:dyDescent="0.25">
      <c r="A3" s="778" t="s">
        <v>204</v>
      </c>
      <c r="B3" s="778"/>
      <c r="C3" s="778"/>
      <c r="D3" s="778"/>
      <c r="E3" s="778"/>
      <c r="F3" s="778"/>
      <c r="G3" s="778"/>
    </row>
    <row r="4" spans="1:18" ht="6" customHeight="1" x14ac:dyDescent="0.25">
      <c r="A4" s="112"/>
      <c r="B4" s="113"/>
      <c r="C4" s="113"/>
      <c r="D4" s="112"/>
      <c r="E4" s="112"/>
      <c r="F4" s="112"/>
      <c r="G4" s="112"/>
    </row>
    <row r="5" spans="1:18" ht="15" customHeight="1" x14ac:dyDescent="0.25">
      <c r="A5" s="114"/>
      <c r="B5" s="779"/>
      <c r="C5" s="779"/>
      <c r="D5" s="779"/>
      <c r="E5" s="779"/>
      <c r="F5" s="779"/>
      <c r="G5" s="115"/>
    </row>
    <row r="6" spans="1:18" x14ac:dyDescent="0.2">
      <c r="A6" s="116" t="s">
        <v>205</v>
      </c>
      <c r="F6" s="117" t="s">
        <v>206</v>
      </c>
      <c r="G6" s="118">
        <v>42826</v>
      </c>
    </row>
    <row r="7" spans="1:18" ht="14.45" customHeight="1" x14ac:dyDescent="0.2">
      <c r="A7" s="780" t="s">
        <v>207</v>
      </c>
      <c r="B7" s="780" t="s">
        <v>208</v>
      </c>
      <c r="C7" s="780" t="s">
        <v>101</v>
      </c>
      <c r="D7" s="780" t="s">
        <v>209</v>
      </c>
      <c r="E7" s="780" t="s">
        <v>210</v>
      </c>
      <c r="F7" s="781" t="s">
        <v>211</v>
      </c>
      <c r="G7" s="781"/>
    </row>
    <row r="8" spans="1:18" x14ac:dyDescent="0.2">
      <c r="A8" s="780"/>
      <c r="B8" s="780"/>
      <c r="C8" s="780"/>
      <c r="D8" s="780"/>
      <c r="E8" s="780"/>
      <c r="F8" s="119" t="s">
        <v>212</v>
      </c>
      <c r="G8" s="119" t="s">
        <v>75</v>
      </c>
      <c r="Q8" s="119" t="s">
        <v>213</v>
      </c>
      <c r="R8" s="120">
        <v>0.2</v>
      </c>
    </row>
    <row r="9" spans="1:18" x14ac:dyDescent="0.2">
      <c r="A9" s="119">
        <v>1</v>
      </c>
      <c r="B9" s="121" t="s">
        <v>214</v>
      </c>
      <c r="C9" s="121"/>
      <c r="D9" s="122"/>
      <c r="E9" s="122"/>
      <c r="F9" s="122"/>
      <c r="G9" s="122"/>
      <c r="I9" s="123"/>
      <c r="Q9" s="119" t="s">
        <v>66</v>
      </c>
      <c r="R9" s="120">
        <v>0.84040000000000004</v>
      </c>
    </row>
    <row r="10" spans="1:18" x14ac:dyDescent="0.2">
      <c r="A10" s="119" t="s">
        <v>110</v>
      </c>
      <c r="B10" s="121" t="s">
        <v>111</v>
      </c>
      <c r="C10" s="121"/>
      <c r="D10" s="122"/>
      <c r="E10" s="122"/>
      <c r="F10" s="122"/>
      <c r="G10" s="122"/>
      <c r="I10" s="124"/>
      <c r="Q10" s="119" t="s">
        <v>215</v>
      </c>
      <c r="R10" s="120">
        <v>0.3</v>
      </c>
    </row>
    <row r="11" spans="1:18" x14ac:dyDescent="0.2">
      <c r="A11" s="125" t="s">
        <v>113</v>
      </c>
      <c r="B11" s="122" t="s">
        <v>114</v>
      </c>
      <c r="C11" s="125" t="s">
        <v>112</v>
      </c>
      <c r="D11" s="125" t="s">
        <v>216</v>
      </c>
      <c r="E11" s="126">
        <v>1</v>
      </c>
      <c r="F11" s="127">
        <f>'Tabela DNIT-Consult'!L7</f>
        <v>19616.11</v>
      </c>
      <c r="G11" s="128">
        <f>E11*F11</f>
        <v>19616.11</v>
      </c>
      <c r="I11" s="124" t="s">
        <v>112</v>
      </c>
      <c r="Q11" s="119" t="s">
        <v>217</v>
      </c>
      <c r="R11" s="120">
        <v>0.12</v>
      </c>
    </row>
    <row r="12" spans="1:18" x14ac:dyDescent="0.2">
      <c r="A12" s="119" t="s">
        <v>116</v>
      </c>
      <c r="B12" s="121" t="s">
        <v>218</v>
      </c>
      <c r="C12" s="125"/>
      <c r="D12" s="122"/>
      <c r="E12" s="122"/>
      <c r="F12" s="129"/>
      <c r="G12" s="122"/>
      <c r="I12" s="124"/>
      <c r="Q12" s="119" t="s">
        <v>219</v>
      </c>
      <c r="R12" s="120">
        <v>0.16619999999999999</v>
      </c>
    </row>
    <row r="13" spans="1:18" x14ac:dyDescent="0.2">
      <c r="A13" s="125" t="s">
        <v>118</v>
      </c>
      <c r="B13" s="122" t="s">
        <v>220</v>
      </c>
      <c r="C13" s="125" t="s">
        <v>117</v>
      </c>
      <c r="D13" s="125" t="s">
        <v>216</v>
      </c>
      <c r="E13" s="126">
        <v>1</v>
      </c>
      <c r="F13" s="127">
        <f>'Tabela DNIT-Consult'!L8</f>
        <v>17046.79</v>
      </c>
      <c r="G13" s="128">
        <f>E13*F13</f>
        <v>17046.79</v>
      </c>
      <c r="I13" s="124" t="s">
        <v>117</v>
      </c>
    </row>
    <row r="14" spans="1:18" x14ac:dyDescent="0.2">
      <c r="A14" s="125" t="s">
        <v>120</v>
      </c>
      <c r="B14" s="130" t="s">
        <v>221</v>
      </c>
      <c r="C14" s="125" t="s">
        <v>119</v>
      </c>
      <c r="D14" s="131" t="s">
        <v>216</v>
      </c>
      <c r="E14" s="126">
        <v>1</v>
      </c>
      <c r="F14" s="127">
        <f>'Tabela DNIT-Consult'!L9</f>
        <v>13432.23</v>
      </c>
      <c r="G14" s="132">
        <f>E14*F14</f>
        <v>13432.23</v>
      </c>
      <c r="I14" s="124" t="s">
        <v>119</v>
      </c>
    </row>
    <row r="15" spans="1:18" x14ac:dyDescent="0.2">
      <c r="A15" s="125" t="s">
        <v>122</v>
      </c>
      <c r="B15" s="130" t="s">
        <v>222</v>
      </c>
      <c r="C15" s="125" t="s">
        <v>121</v>
      </c>
      <c r="D15" s="125" t="s">
        <v>216</v>
      </c>
      <c r="E15" s="126">
        <v>1</v>
      </c>
      <c r="F15" s="127">
        <f>'Tabela DNIT-Consult'!L10</f>
        <v>10508.36</v>
      </c>
      <c r="G15" s="132">
        <f>E15*F15</f>
        <v>10508.36</v>
      </c>
      <c r="I15" s="124" t="s">
        <v>121</v>
      </c>
    </row>
    <row r="16" spans="1:18" x14ac:dyDescent="0.2">
      <c r="A16" s="125" t="s">
        <v>124</v>
      </c>
      <c r="B16" s="130" t="s">
        <v>223</v>
      </c>
      <c r="C16" s="125" t="s">
        <v>123</v>
      </c>
      <c r="D16" s="125" t="s">
        <v>216</v>
      </c>
      <c r="E16" s="126">
        <v>1</v>
      </c>
      <c r="F16" s="127">
        <f>'Tabela DNIT-Consult'!L11</f>
        <v>8645.2999999999993</v>
      </c>
      <c r="G16" s="132">
        <f>E16*F16</f>
        <v>8645.2999999999993</v>
      </c>
      <c r="I16" s="124" t="s">
        <v>123</v>
      </c>
    </row>
    <row r="17" spans="1:9" x14ac:dyDescent="0.2">
      <c r="A17" s="125" t="s">
        <v>125</v>
      </c>
      <c r="B17" s="130" t="s">
        <v>525</v>
      </c>
      <c r="C17" s="125" t="s">
        <v>224</v>
      </c>
      <c r="D17" s="125" t="s">
        <v>216</v>
      </c>
      <c r="E17" s="126">
        <v>1</v>
      </c>
      <c r="F17" s="127">
        <f>'Tabela DNIT-Consult'!L12</f>
        <v>8109</v>
      </c>
      <c r="G17" s="132">
        <f>E17*F17</f>
        <v>8109</v>
      </c>
      <c r="I17" s="124" t="s">
        <v>224</v>
      </c>
    </row>
    <row r="18" spans="1:9" x14ac:dyDescent="0.2">
      <c r="A18" s="119" t="s">
        <v>126</v>
      </c>
      <c r="B18" s="121" t="s">
        <v>127</v>
      </c>
      <c r="C18" s="125"/>
      <c r="D18" s="131"/>
      <c r="E18" s="126"/>
      <c r="F18" s="127"/>
      <c r="G18" s="132"/>
      <c r="I18" s="124"/>
    </row>
    <row r="19" spans="1:9" x14ac:dyDescent="0.2">
      <c r="A19" s="131" t="s">
        <v>129</v>
      </c>
      <c r="B19" s="130" t="s">
        <v>529</v>
      </c>
      <c r="C19" s="125" t="s">
        <v>225</v>
      </c>
      <c r="D19" s="125" t="s">
        <v>216</v>
      </c>
      <c r="E19" s="126">
        <v>1</v>
      </c>
      <c r="F19" s="127">
        <f>'Tabela DNIT-Consult'!L13</f>
        <v>6089.06</v>
      </c>
      <c r="G19" s="132">
        <f>E19*F19</f>
        <v>6089.06</v>
      </c>
      <c r="I19" s="124" t="s">
        <v>225</v>
      </c>
    </row>
    <row r="20" spans="1:9" x14ac:dyDescent="0.2">
      <c r="A20" s="131" t="s">
        <v>131</v>
      </c>
      <c r="B20" s="130" t="s">
        <v>530</v>
      </c>
      <c r="C20" s="125" t="s">
        <v>128</v>
      </c>
      <c r="D20" s="125" t="s">
        <v>216</v>
      </c>
      <c r="E20" s="126">
        <v>1</v>
      </c>
      <c r="F20" s="127">
        <f>'Tabela DNIT-Consult'!L14</f>
        <v>4644.72</v>
      </c>
      <c r="G20" s="132">
        <f>E20*F20</f>
        <v>4644.72</v>
      </c>
      <c r="I20" s="124" t="s">
        <v>128</v>
      </c>
    </row>
    <row r="21" spans="1:9" x14ac:dyDescent="0.2">
      <c r="A21" s="131" t="s">
        <v>226</v>
      </c>
      <c r="B21" s="130" t="s">
        <v>526</v>
      </c>
      <c r="C21" s="125" t="s">
        <v>130</v>
      </c>
      <c r="D21" s="125" t="s">
        <v>216</v>
      </c>
      <c r="E21" s="126">
        <v>1</v>
      </c>
      <c r="F21" s="127">
        <f>'Tabela DNIT-Consult'!L15</f>
        <v>3512.58</v>
      </c>
      <c r="G21" s="132">
        <f>E21*F21</f>
        <v>3512.58</v>
      </c>
      <c r="I21" s="124" t="s">
        <v>130</v>
      </c>
    </row>
    <row r="22" spans="1:9" x14ac:dyDescent="0.2">
      <c r="A22" s="131" t="s">
        <v>227</v>
      </c>
      <c r="B22" s="130" t="s">
        <v>527</v>
      </c>
      <c r="C22" s="125" t="s">
        <v>132</v>
      </c>
      <c r="D22" s="125" t="s">
        <v>216</v>
      </c>
      <c r="E22" s="126">
        <v>1</v>
      </c>
      <c r="F22" s="127">
        <f>'Tabela DNIT-Consult'!L16</f>
        <v>2819.32</v>
      </c>
      <c r="G22" s="132">
        <f>E22*F22</f>
        <v>2819.32</v>
      </c>
      <c r="I22" s="124" t="s">
        <v>132</v>
      </c>
    </row>
    <row r="23" spans="1:9" x14ac:dyDescent="0.2">
      <c r="A23" s="131" t="s">
        <v>228</v>
      </c>
      <c r="B23" s="130" t="s">
        <v>528</v>
      </c>
      <c r="C23" s="125" t="s">
        <v>229</v>
      </c>
      <c r="D23" s="125" t="s">
        <v>216</v>
      </c>
      <c r="E23" s="126">
        <v>1</v>
      </c>
      <c r="F23" s="127">
        <f>'Tabela DNIT-Consult'!L17</f>
        <v>2106.21</v>
      </c>
      <c r="G23" s="132">
        <f>E23*F23</f>
        <v>2106.21</v>
      </c>
      <c r="I23" s="124" t="s">
        <v>229</v>
      </c>
    </row>
    <row r="24" spans="1:9" x14ac:dyDescent="0.2">
      <c r="A24" s="119" t="s">
        <v>133</v>
      </c>
      <c r="B24" s="121" t="s">
        <v>127</v>
      </c>
      <c r="C24" s="125"/>
      <c r="D24" s="131"/>
      <c r="E24" s="126"/>
      <c r="F24" s="127"/>
      <c r="G24" s="132"/>
      <c r="I24" s="124"/>
    </row>
    <row r="25" spans="1:9" x14ac:dyDescent="0.2">
      <c r="A25" s="131" t="s">
        <v>136</v>
      </c>
      <c r="B25" s="130" t="s">
        <v>230</v>
      </c>
      <c r="C25" s="125" t="s">
        <v>231</v>
      </c>
      <c r="D25" s="125" t="s">
        <v>216</v>
      </c>
      <c r="E25" s="126">
        <v>1</v>
      </c>
      <c r="F25" s="127">
        <f>'Tabela DNIT-Consult'!L18</f>
        <v>4879.16</v>
      </c>
      <c r="G25" s="132">
        <f>E25*F25</f>
        <v>4879.16</v>
      </c>
      <c r="I25" s="124" t="s">
        <v>231</v>
      </c>
    </row>
    <row r="26" spans="1:9" x14ac:dyDescent="0.2">
      <c r="A26" s="131" t="s">
        <v>138</v>
      </c>
      <c r="B26" s="130" t="s">
        <v>232</v>
      </c>
      <c r="C26" s="125" t="s">
        <v>135</v>
      </c>
      <c r="D26" s="125" t="s">
        <v>216</v>
      </c>
      <c r="E26" s="126">
        <v>1</v>
      </c>
      <c r="F26" s="127">
        <f>'Tabela DNIT-Consult'!L19</f>
        <v>2929.99</v>
      </c>
      <c r="G26" s="132">
        <f>E26*F26</f>
        <v>2929.99</v>
      </c>
      <c r="I26" s="124" t="s">
        <v>135</v>
      </c>
    </row>
    <row r="27" spans="1:9" x14ac:dyDescent="0.2">
      <c r="A27" s="131" t="s">
        <v>141</v>
      </c>
      <c r="B27" s="130" t="s">
        <v>233</v>
      </c>
      <c r="C27" s="125" t="s">
        <v>137</v>
      </c>
      <c r="D27" s="125" t="s">
        <v>216</v>
      </c>
      <c r="E27" s="126">
        <v>1</v>
      </c>
      <c r="F27" s="127">
        <f>'Tabela DNIT-Consult'!L20</f>
        <v>1893.03</v>
      </c>
      <c r="G27" s="132">
        <f>E27*F27</f>
        <v>1893.03</v>
      </c>
      <c r="I27" s="124" t="s">
        <v>137</v>
      </c>
    </row>
    <row r="28" spans="1:9" x14ac:dyDescent="0.2">
      <c r="A28" s="131" t="s">
        <v>234</v>
      </c>
      <c r="B28" s="130" t="s">
        <v>235</v>
      </c>
      <c r="C28" s="125" t="s">
        <v>140</v>
      </c>
      <c r="D28" s="125" t="s">
        <v>216</v>
      </c>
      <c r="E28" s="126">
        <v>1</v>
      </c>
      <c r="F28" s="127">
        <f>'Tabela DNIT-Consult'!L21</f>
        <v>1650.29</v>
      </c>
      <c r="G28" s="132">
        <f t="shared" ref="G28:G29" si="0">E28*F28</f>
        <v>1650.29</v>
      </c>
      <c r="I28" s="124"/>
    </row>
    <row r="29" spans="1:9" x14ac:dyDescent="0.2">
      <c r="A29" s="131" t="s">
        <v>236</v>
      </c>
      <c r="B29" s="130" t="s">
        <v>237</v>
      </c>
      <c r="C29" s="125" t="s">
        <v>238</v>
      </c>
      <c r="D29" s="125" t="s">
        <v>216</v>
      </c>
      <c r="E29" s="125">
        <v>1</v>
      </c>
      <c r="F29" s="127">
        <f>'Tabela DNIT-Consult'!L22</f>
        <v>1681.94</v>
      </c>
      <c r="G29" s="132">
        <f t="shared" si="0"/>
        <v>1681.94</v>
      </c>
      <c r="I29" s="124"/>
    </row>
    <row r="30" spans="1:9" x14ac:dyDescent="0.2">
      <c r="A30" s="133"/>
      <c r="B30" s="134"/>
      <c r="C30" s="134"/>
      <c r="D30" s="135"/>
      <c r="E30" s="136"/>
      <c r="F30" s="137"/>
      <c r="G30" s="138"/>
      <c r="I30" s="124"/>
    </row>
    <row r="31" spans="1:9" ht="9.9499999999999993" customHeight="1" x14ac:dyDescent="0.2">
      <c r="A31" s="139"/>
      <c r="B31" s="140"/>
      <c r="C31" s="140"/>
      <c r="D31" s="140"/>
      <c r="E31" s="140"/>
      <c r="F31" s="140"/>
      <c r="G31" s="141"/>
      <c r="I31" s="124"/>
    </row>
    <row r="32" spans="1:9" x14ac:dyDescent="0.2">
      <c r="A32" s="142" t="s">
        <v>239</v>
      </c>
      <c r="B32" s="765" t="s">
        <v>240</v>
      </c>
      <c r="C32" s="766"/>
      <c r="D32" s="766"/>
      <c r="E32" s="766"/>
      <c r="F32" s="767"/>
      <c r="G32" s="143">
        <f>SUM(G11:G31)</f>
        <v>109564.09000000003</v>
      </c>
      <c r="I32" s="124"/>
    </row>
    <row r="33" spans="1:9" x14ac:dyDescent="0.2">
      <c r="A33" s="142" t="s">
        <v>241</v>
      </c>
      <c r="B33" s="144" t="s">
        <v>242</v>
      </c>
      <c r="C33" s="144"/>
      <c r="D33" s="144"/>
      <c r="E33" s="144"/>
      <c r="F33" s="144"/>
      <c r="G33" s="143">
        <f>+G11*R8</f>
        <v>3923.2220000000002</v>
      </c>
      <c r="I33" s="124"/>
    </row>
    <row r="34" spans="1:9" x14ac:dyDescent="0.2">
      <c r="A34" s="142" t="s">
        <v>243</v>
      </c>
      <c r="B34" s="144" t="s">
        <v>244</v>
      </c>
      <c r="C34" s="144"/>
      <c r="D34" s="144"/>
      <c r="E34" s="144"/>
      <c r="F34" s="144"/>
      <c r="G34" s="143">
        <f>+SUM(G13:G29)*R9</f>
        <v>75592.282392000023</v>
      </c>
      <c r="I34" s="124"/>
    </row>
    <row r="35" spans="1:9" x14ac:dyDescent="0.2">
      <c r="A35" s="142" t="s">
        <v>245</v>
      </c>
      <c r="B35" s="144" t="s">
        <v>246</v>
      </c>
      <c r="C35" s="144"/>
      <c r="D35" s="144"/>
      <c r="E35" s="144"/>
      <c r="F35" s="144"/>
      <c r="G35" s="145">
        <f>+G32*$R$10</f>
        <v>32869.227000000006</v>
      </c>
      <c r="I35" s="124"/>
    </row>
    <row r="36" spans="1:9" ht="9.9499999999999993" customHeight="1" x14ac:dyDescent="0.2">
      <c r="A36" s="146"/>
      <c r="B36" s="147"/>
      <c r="C36" s="147"/>
      <c r="D36" s="147"/>
      <c r="E36" s="147"/>
      <c r="F36" s="147"/>
      <c r="G36" s="148"/>
      <c r="I36" s="124"/>
    </row>
    <row r="37" spans="1:9" s="116" customFormat="1" x14ac:dyDescent="0.2">
      <c r="A37" s="142">
        <v>2</v>
      </c>
      <c r="B37" s="144" t="s">
        <v>178</v>
      </c>
      <c r="C37" s="144"/>
      <c r="D37" s="144"/>
      <c r="E37" s="144"/>
      <c r="F37" s="144"/>
      <c r="G37" s="149"/>
      <c r="I37" s="150"/>
    </row>
    <row r="38" spans="1:9" x14ac:dyDescent="0.2">
      <c r="A38" s="131" t="s">
        <v>144</v>
      </c>
      <c r="B38" s="130" t="s">
        <v>154</v>
      </c>
      <c r="C38" s="130"/>
      <c r="D38" s="131" t="s">
        <v>216</v>
      </c>
      <c r="E38" s="131">
        <v>1</v>
      </c>
      <c r="F38" s="127">
        <f>'Tabela DNIT-Consult'!L23</f>
        <v>3117.27</v>
      </c>
      <c r="G38" s="132">
        <f t="shared" ref="G38:G49" si="1">+E38*F38</f>
        <v>3117.27</v>
      </c>
      <c r="I38" s="124" t="s">
        <v>247</v>
      </c>
    </row>
    <row r="39" spans="1:9" x14ac:dyDescent="0.2">
      <c r="A39" s="581" t="s">
        <v>147</v>
      </c>
      <c r="B39" s="130" t="s">
        <v>532</v>
      </c>
      <c r="C39" s="582"/>
      <c r="D39" s="131" t="s">
        <v>216</v>
      </c>
      <c r="E39" s="131">
        <v>1</v>
      </c>
      <c r="F39" s="127">
        <f>'Tabela DNIT-Consult'!L24</f>
        <v>3298.44</v>
      </c>
      <c r="G39" s="583"/>
      <c r="I39" s="124"/>
    </row>
    <row r="40" spans="1:9" x14ac:dyDescent="0.2">
      <c r="A40" s="131" t="s">
        <v>248</v>
      </c>
      <c r="B40" s="130" t="s">
        <v>157</v>
      </c>
      <c r="C40" s="130"/>
      <c r="D40" s="131" t="s">
        <v>216</v>
      </c>
      <c r="E40" s="131">
        <v>1</v>
      </c>
      <c r="F40" s="127">
        <f>'Tabela DNIT-Consult'!L25</f>
        <v>4660.3100000000004</v>
      </c>
      <c r="G40" s="132">
        <f t="shared" si="1"/>
        <v>4660.3100000000004</v>
      </c>
      <c r="I40" s="124"/>
    </row>
    <row r="41" spans="1:9" x14ac:dyDescent="0.2">
      <c r="A41" s="581" t="s">
        <v>250</v>
      </c>
      <c r="B41" s="130" t="s">
        <v>182</v>
      </c>
      <c r="C41" s="130"/>
      <c r="D41" s="131" t="s">
        <v>155</v>
      </c>
      <c r="E41" s="131">
        <v>1</v>
      </c>
      <c r="F41" s="151">
        <v>0</v>
      </c>
      <c r="G41" s="132">
        <f t="shared" si="1"/>
        <v>0</v>
      </c>
      <c r="I41" s="124" t="s">
        <v>249</v>
      </c>
    </row>
    <row r="42" spans="1:9" x14ac:dyDescent="0.2">
      <c r="A42" s="131" t="s">
        <v>253</v>
      </c>
      <c r="B42" s="130" t="s">
        <v>251</v>
      </c>
      <c r="C42" s="130"/>
      <c r="D42" s="131" t="s">
        <v>216</v>
      </c>
      <c r="E42" s="131">
        <v>1</v>
      </c>
      <c r="F42" s="127">
        <f>'Tabela DNIT-Consult'!L29</f>
        <v>302.66000000000003</v>
      </c>
      <c r="G42" s="132">
        <f t="shared" si="1"/>
        <v>302.66000000000003</v>
      </c>
      <c r="I42" s="124" t="s">
        <v>252</v>
      </c>
    </row>
    <row r="43" spans="1:9" x14ac:dyDescent="0.2">
      <c r="A43" s="581" t="s">
        <v>256</v>
      </c>
      <c r="B43" s="130" t="s">
        <v>254</v>
      </c>
      <c r="C43" s="130"/>
      <c r="D43" s="131" t="s">
        <v>216</v>
      </c>
      <c r="E43" s="131">
        <v>1</v>
      </c>
      <c r="F43" s="152">
        <f>+F42</f>
        <v>302.66000000000003</v>
      </c>
      <c r="G43" s="132">
        <f t="shared" si="1"/>
        <v>302.66000000000003</v>
      </c>
      <c r="I43" s="124" t="s">
        <v>255</v>
      </c>
    </row>
    <row r="44" spans="1:9" x14ac:dyDescent="0.2">
      <c r="A44" s="131" t="s">
        <v>259</v>
      </c>
      <c r="B44" s="130" t="s">
        <v>257</v>
      </c>
      <c r="C44" s="130"/>
      <c r="D44" s="131" t="s">
        <v>155</v>
      </c>
      <c r="E44" s="153">
        <v>1</v>
      </c>
      <c r="F44" s="152">
        <f>G77</f>
        <v>239.7</v>
      </c>
      <c r="G44" s="132">
        <f t="shared" si="1"/>
        <v>239.7</v>
      </c>
      <c r="I44" s="124" t="s">
        <v>258</v>
      </c>
    </row>
    <row r="45" spans="1:9" x14ac:dyDescent="0.2">
      <c r="A45" s="581" t="s">
        <v>262</v>
      </c>
      <c r="B45" s="130" t="s">
        <v>260</v>
      </c>
      <c r="C45" s="130"/>
      <c r="D45" s="131" t="s">
        <v>155</v>
      </c>
      <c r="E45" s="153">
        <v>1</v>
      </c>
      <c r="F45" s="152">
        <f>G77</f>
        <v>239.7</v>
      </c>
      <c r="G45" s="132">
        <f t="shared" si="1"/>
        <v>239.7</v>
      </c>
      <c r="I45" s="124" t="s">
        <v>261</v>
      </c>
    </row>
    <row r="46" spans="1:9" x14ac:dyDescent="0.2">
      <c r="A46" s="131" t="s">
        <v>265</v>
      </c>
      <c r="B46" s="130" t="s">
        <v>263</v>
      </c>
      <c r="C46" s="130"/>
      <c r="D46" s="131" t="s">
        <v>155</v>
      </c>
      <c r="E46" s="153">
        <v>1</v>
      </c>
      <c r="F46" s="152">
        <v>0</v>
      </c>
      <c r="G46" s="132">
        <f t="shared" si="1"/>
        <v>0</v>
      </c>
      <c r="I46" s="124" t="s">
        <v>264</v>
      </c>
    </row>
    <row r="47" spans="1:9" x14ac:dyDescent="0.2">
      <c r="A47" s="581" t="s">
        <v>268</v>
      </c>
      <c r="B47" s="130" t="s">
        <v>266</v>
      </c>
      <c r="C47" s="130"/>
      <c r="D47" s="131" t="s">
        <v>155</v>
      </c>
      <c r="E47" s="154">
        <v>1</v>
      </c>
      <c r="F47" s="152">
        <f>H89</f>
        <v>1.5</v>
      </c>
      <c r="G47" s="132">
        <f t="shared" si="1"/>
        <v>1.5</v>
      </c>
      <c r="I47" s="124" t="s">
        <v>267</v>
      </c>
    </row>
    <row r="48" spans="1:9" x14ac:dyDescent="0.2">
      <c r="A48" s="131" t="s">
        <v>269</v>
      </c>
      <c r="B48" s="130" t="s">
        <v>174</v>
      </c>
      <c r="C48" s="147"/>
      <c r="D48" s="131" t="s">
        <v>216</v>
      </c>
      <c r="E48" s="154">
        <v>1</v>
      </c>
      <c r="F48" s="127">
        <f>'Tabela DNIT-Consult'!L36</f>
        <v>1749.95</v>
      </c>
      <c r="G48" s="132">
        <f t="shared" si="1"/>
        <v>1749.95</v>
      </c>
      <c r="I48" s="124"/>
    </row>
    <row r="49" spans="1:10" x14ac:dyDescent="0.2">
      <c r="A49" s="581" t="s">
        <v>270</v>
      </c>
      <c r="B49" s="155" t="s">
        <v>176</v>
      </c>
      <c r="C49" s="130"/>
      <c r="D49" s="131" t="s">
        <v>216</v>
      </c>
      <c r="E49" s="154">
        <v>1</v>
      </c>
      <c r="F49" s="156">
        <f>'Tabela DNIT-Consult'!L39</f>
        <v>752.62</v>
      </c>
      <c r="G49" s="132">
        <f t="shared" si="1"/>
        <v>752.62</v>
      </c>
      <c r="I49" s="123"/>
    </row>
    <row r="50" spans="1:10" x14ac:dyDescent="0.2">
      <c r="A50" s="131" t="s">
        <v>531</v>
      </c>
      <c r="B50" s="155" t="s">
        <v>271</v>
      </c>
      <c r="C50" s="130"/>
      <c r="D50" s="157" t="s">
        <v>272</v>
      </c>
      <c r="E50" s="158">
        <v>1</v>
      </c>
      <c r="F50" s="127">
        <f>'Tabela DNIT-Consult'!L31</f>
        <v>12560.56</v>
      </c>
      <c r="G50" s="132">
        <f>F50*E50</f>
        <v>12560.56</v>
      </c>
    </row>
    <row r="51" spans="1:10" x14ac:dyDescent="0.2">
      <c r="A51" s="131"/>
      <c r="B51" s="155"/>
      <c r="C51" s="147"/>
      <c r="D51" s="157"/>
      <c r="E51" s="158"/>
      <c r="F51" s="159"/>
      <c r="G51" s="132"/>
    </row>
    <row r="52" spans="1:10" x14ac:dyDescent="0.2">
      <c r="A52" s="131"/>
      <c r="B52" s="155"/>
      <c r="C52" s="147"/>
      <c r="D52" s="157"/>
      <c r="E52" s="158"/>
      <c r="F52" s="159"/>
      <c r="G52" s="132"/>
    </row>
    <row r="53" spans="1:10" x14ac:dyDescent="0.2">
      <c r="A53" s="131"/>
      <c r="B53" s="155"/>
      <c r="C53" s="147"/>
      <c r="D53" s="157"/>
      <c r="E53" s="158"/>
      <c r="F53" s="159"/>
      <c r="G53" s="132"/>
    </row>
    <row r="54" spans="1:10" x14ac:dyDescent="0.2">
      <c r="A54" s="131"/>
      <c r="B54" s="155"/>
      <c r="C54" s="147"/>
      <c r="D54" s="157"/>
      <c r="E54" s="158"/>
      <c r="F54" s="159"/>
      <c r="G54" s="132"/>
      <c r="J54" s="160"/>
    </row>
    <row r="55" spans="1:10" x14ac:dyDescent="0.2">
      <c r="A55" s="131"/>
      <c r="B55" s="155"/>
      <c r="C55" s="147"/>
      <c r="D55" s="157"/>
      <c r="E55" s="158"/>
      <c r="F55" s="159"/>
      <c r="G55" s="132"/>
    </row>
    <row r="56" spans="1:10" x14ac:dyDescent="0.2">
      <c r="A56" s="142" t="s">
        <v>273</v>
      </c>
      <c r="B56" s="765" t="s">
        <v>274</v>
      </c>
      <c r="C56" s="766"/>
      <c r="D56" s="766"/>
      <c r="E56" s="766"/>
      <c r="F56" s="767"/>
      <c r="G56" s="161">
        <f>SUM(G38:G50)</f>
        <v>23926.93</v>
      </c>
      <c r="J56" s="162"/>
    </row>
    <row r="57" spans="1:10" ht="9.9499999999999993" customHeight="1" x14ac:dyDescent="0.2">
      <c r="A57" s="155"/>
      <c r="B57" s="147"/>
      <c r="C57" s="147"/>
      <c r="D57" s="147"/>
      <c r="E57" s="147"/>
      <c r="F57" s="147"/>
      <c r="G57" s="163"/>
    </row>
    <row r="58" spans="1:10" x14ac:dyDescent="0.2">
      <c r="A58" s="130"/>
      <c r="B58" s="768" t="s">
        <v>275</v>
      </c>
      <c r="C58" s="769"/>
      <c r="D58" s="769"/>
      <c r="E58" s="769"/>
      <c r="F58" s="770"/>
      <c r="G58" s="164">
        <f>G32+G33+G34+G35+G56</f>
        <v>245875.75139200006</v>
      </c>
    </row>
    <row r="59" spans="1:10" ht="9.9499999999999993" customHeight="1" x14ac:dyDescent="0.2">
      <c r="A59" s="155"/>
      <c r="B59" s="147"/>
      <c r="C59" s="147"/>
      <c r="D59" s="147"/>
      <c r="E59" s="147"/>
      <c r="F59" s="147"/>
      <c r="G59" s="165"/>
    </row>
    <row r="60" spans="1:10" x14ac:dyDescent="0.2">
      <c r="A60" s="131" t="s">
        <v>276</v>
      </c>
      <c r="B60" s="768" t="s">
        <v>277</v>
      </c>
      <c r="C60" s="769"/>
      <c r="D60" s="769"/>
      <c r="E60" s="769"/>
      <c r="F60" s="770"/>
      <c r="G60" s="166"/>
    </row>
    <row r="61" spans="1:10" x14ac:dyDescent="0.2">
      <c r="A61" s="131" t="s">
        <v>278</v>
      </c>
      <c r="B61" s="768" t="s">
        <v>279</v>
      </c>
      <c r="C61" s="769"/>
      <c r="D61" s="769"/>
      <c r="E61" s="769"/>
      <c r="F61" s="770"/>
      <c r="G61" s="161">
        <f>+G58*$R$11</f>
        <v>29505.090167040005</v>
      </c>
    </row>
    <row r="62" spans="1:10" ht="9.9499999999999993" customHeight="1" x14ac:dyDescent="0.2">
      <c r="A62" s="146"/>
      <c r="B62" s="147"/>
      <c r="C62" s="147"/>
      <c r="D62" s="147"/>
      <c r="E62" s="147"/>
      <c r="F62" s="147"/>
      <c r="G62" s="166"/>
    </row>
    <row r="63" spans="1:10" x14ac:dyDescent="0.2">
      <c r="A63" s="125"/>
      <c r="B63" s="771" t="s">
        <v>280</v>
      </c>
      <c r="C63" s="772"/>
      <c r="D63" s="772"/>
      <c r="E63" s="772"/>
      <c r="F63" s="773"/>
      <c r="G63" s="161">
        <f>+G58+G61</f>
        <v>275380.84155904007</v>
      </c>
    </row>
    <row r="64" spans="1:10" ht="9.9499999999999993" customHeight="1" x14ac:dyDescent="0.2">
      <c r="A64" s="167"/>
      <c r="B64" s="168"/>
      <c r="C64" s="168"/>
      <c r="D64" s="168"/>
      <c r="E64" s="168"/>
      <c r="F64" s="168"/>
      <c r="G64" s="165"/>
    </row>
    <row r="65" spans="1:11" x14ac:dyDescent="0.2">
      <c r="A65" s="125" t="s">
        <v>281</v>
      </c>
      <c r="B65" s="771" t="s">
        <v>282</v>
      </c>
      <c r="C65" s="772"/>
      <c r="D65" s="772"/>
      <c r="E65" s="772"/>
      <c r="F65" s="773"/>
      <c r="G65" s="161">
        <f>+G63*$R$12</f>
        <v>45768.295867112458</v>
      </c>
    </row>
    <row r="66" spans="1:11" ht="9.9499999999999993" customHeight="1" x14ac:dyDescent="0.2">
      <c r="A66" s="167"/>
      <c r="B66" s="168"/>
      <c r="C66" s="168"/>
      <c r="D66" s="168"/>
      <c r="E66" s="168"/>
      <c r="F66" s="168"/>
      <c r="G66" s="166"/>
    </row>
    <row r="67" spans="1:11" s="116" customFormat="1" ht="15" customHeight="1" x14ac:dyDescent="0.2">
      <c r="A67" s="774" t="s">
        <v>283</v>
      </c>
      <c r="B67" s="775"/>
      <c r="C67" s="775"/>
      <c r="D67" s="775"/>
      <c r="E67" s="775"/>
      <c r="F67" s="776"/>
      <c r="G67" s="161">
        <f>+G63+G65</f>
        <v>321149.13742615253</v>
      </c>
      <c r="H67" s="169"/>
      <c r="J67" s="169"/>
      <c r="K67" s="169"/>
    </row>
    <row r="72" spans="1:11" x14ac:dyDescent="0.2">
      <c r="B72" s="116" t="s">
        <v>205</v>
      </c>
      <c r="E72" s="117" t="s">
        <v>206</v>
      </c>
      <c r="F72" s="118">
        <f>G6</f>
        <v>42826</v>
      </c>
    </row>
    <row r="73" spans="1:11" x14ac:dyDescent="0.2">
      <c r="B73" s="846" t="s">
        <v>207</v>
      </c>
      <c r="C73" s="846" t="s">
        <v>208</v>
      </c>
      <c r="D73" s="846" t="s">
        <v>209</v>
      </c>
      <c r="E73" s="846" t="s">
        <v>210</v>
      </c>
      <c r="F73" s="119" t="s">
        <v>211</v>
      </c>
    </row>
    <row r="74" spans="1:11" x14ac:dyDescent="0.2">
      <c r="B74" s="764"/>
      <c r="C74" s="764"/>
      <c r="D74" s="764"/>
      <c r="E74" s="764"/>
      <c r="F74" s="119" t="s">
        <v>212</v>
      </c>
    </row>
    <row r="75" spans="1:11" x14ac:dyDescent="0.2">
      <c r="B75" s="142">
        <v>1</v>
      </c>
      <c r="C75" s="144" t="s">
        <v>178</v>
      </c>
      <c r="D75" s="144"/>
      <c r="E75" s="144"/>
      <c r="F75" s="144"/>
      <c r="G75" s="116"/>
      <c r="I75" s="116"/>
    </row>
    <row r="76" spans="1:11" x14ac:dyDescent="0.2">
      <c r="B76" s="131" t="s">
        <v>110</v>
      </c>
      <c r="C76" s="129" t="s">
        <v>289</v>
      </c>
      <c r="D76" s="131" t="s">
        <v>155</v>
      </c>
      <c r="E76" s="126">
        <v>1</v>
      </c>
      <c r="F76" s="170">
        <f>ROUNDUP(+G115,0)</f>
        <v>247</v>
      </c>
      <c r="G76" s="171"/>
    </row>
    <row r="77" spans="1:11" x14ac:dyDescent="0.2">
      <c r="B77" s="131" t="s">
        <v>116</v>
      </c>
      <c r="C77" s="129" t="s">
        <v>290</v>
      </c>
      <c r="D77" s="131" t="s">
        <v>155</v>
      </c>
      <c r="E77" s="126">
        <v>1</v>
      </c>
      <c r="F77" s="170">
        <f>ROUNDUP(+G117,0)</f>
        <v>204</v>
      </c>
      <c r="G77" s="172">
        <v>239.7</v>
      </c>
    </row>
    <row r="78" spans="1:11" x14ac:dyDescent="0.2">
      <c r="B78" s="131" t="s">
        <v>126</v>
      </c>
      <c r="C78" s="129" t="s">
        <v>291</v>
      </c>
      <c r="D78" s="131" t="s">
        <v>155</v>
      </c>
      <c r="E78" s="126">
        <v>1</v>
      </c>
      <c r="F78" s="170">
        <f>ROUNDUP(+J105,0)</f>
        <v>965</v>
      </c>
    </row>
    <row r="80" spans="1:11" ht="15.75" x14ac:dyDescent="0.25">
      <c r="E80" s="111" t="s">
        <v>288</v>
      </c>
      <c r="F80" s="173">
        <f>ROUNDDOWN(AVERAGE(F76:F78),0)</f>
        <v>472</v>
      </c>
    </row>
    <row r="83" spans="1:15" ht="15" x14ac:dyDescent="0.25">
      <c r="A83" s="174"/>
      <c r="B83" s="175" t="s">
        <v>292</v>
      </c>
      <c r="C83" s="175"/>
      <c r="D83" s="174"/>
      <c r="E83" s="174"/>
      <c r="F83" s="174"/>
      <c r="G83" s="176"/>
      <c r="H83" s="174"/>
      <c r="I83" s="174"/>
      <c r="J83" s="174"/>
      <c r="K83" s="174"/>
      <c r="L83" s="174"/>
      <c r="M83" s="174"/>
      <c r="N83" s="174"/>
      <c r="O83" s="174"/>
    </row>
    <row r="84" spans="1:15" x14ac:dyDescent="0.2">
      <c r="A84" s="174"/>
      <c r="B84" s="174"/>
      <c r="C84" s="174"/>
      <c r="D84" s="174"/>
      <c r="E84" s="174"/>
      <c r="F84" s="174"/>
      <c r="G84" s="847" t="s">
        <v>533</v>
      </c>
      <c r="H84" s="847"/>
      <c r="I84" s="174"/>
      <c r="J84" s="174"/>
      <c r="K84" s="174"/>
      <c r="L84" s="174"/>
      <c r="M84" s="174"/>
      <c r="N84" s="174"/>
      <c r="O84" s="174"/>
    </row>
    <row r="85" spans="1:15" s="179" customFormat="1" ht="12.75" customHeight="1" x14ac:dyDescent="0.2">
      <c r="A85" s="177"/>
      <c r="B85" s="178"/>
      <c r="C85" s="844" t="s">
        <v>284</v>
      </c>
      <c r="D85" s="845"/>
      <c r="E85" s="843" t="s">
        <v>15</v>
      </c>
      <c r="F85" s="177"/>
      <c r="G85" s="848" t="s">
        <v>534</v>
      </c>
      <c r="H85" s="849">
        <v>0.99</v>
      </c>
      <c r="I85" s="177"/>
      <c r="J85" s="177"/>
      <c r="K85" s="177"/>
      <c r="L85" s="177"/>
      <c r="M85" s="177"/>
      <c r="N85" s="177"/>
      <c r="O85" s="177"/>
    </row>
    <row r="86" spans="1:15" s="179" customFormat="1" x14ac:dyDescent="0.2">
      <c r="A86" s="177"/>
      <c r="B86" s="180" t="s">
        <v>285</v>
      </c>
      <c r="C86" s="181" t="s">
        <v>286</v>
      </c>
      <c r="D86" s="181" t="s">
        <v>287</v>
      </c>
      <c r="E86" s="755"/>
      <c r="F86" s="177"/>
      <c r="G86" s="848" t="s">
        <v>535</v>
      </c>
      <c r="H86" s="849">
        <v>1.4</v>
      </c>
      <c r="I86" s="177"/>
      <c r="J86" s="177"/>
      <c r="K86" s="177"/>
      <c r="L86" s="177"/>
      <c r="M86" s="177"/>
      <c r="N86" s="177"/>
      <c r="O86" s="177"/>
    </row>
    <row r="87" spans="1:15" s="179" customFormat="1" x14ac:dyDescent="0.2">
      <c r="A87" s="177"/>
      <c r="B87" s="182" t="s">
        <v>293</v>
      </c>
      <c r="C87" s="183">
        <v>2345</v>
      </c>
      <c r="D87" s="183">
        <v>1145</v>
      </c>
      <c r="E87" s="183">
        <f>SUM(C87:D87)</f>
        <v>3490</v>
      </c>
      <c r="F87" s="177"/>
      <c r="G87" s="848" t="s">
        <v>536</v>
      </c>
      <c r="H87" s="849">
        <v>1.7</v>
      </c>
      <c r="I87" s="177"/>
      <c r="J87" s="177"/>
      <c r="K87" s="177"/>
      <c r="L87" s="177"/>
      <c r="M87" s="177"/>
      <c r="N87" s="177"/>
      <c r="O87" s="177"/>
    </row>
    <row r="88" spans="1:15" x14ac:dyDescent="0.2">
      <c r="A88" s="174"/>
      <c r="B88" s="181" t="s">
        <v>294</v>
      </c>
      <c r="C88" s="184">
        <v>3965</v>
      </c>
      <c r="D88" s="184">
        <v>406</v>
      </c>
      <c r="E88" s="183">
        <f t="shared" ref="E88:E91" si="2">SUM(C88:D88)</f>
        <v>4371</v>
      </c>
      <c r="F88" s="174"/>
      <c r="G88" s="848" t="s">
        <v>537</v>
      </c>
      <c r="H88" s="849">
        <v>2</v>
      </c>
      <c r="I88" s="174"/>
      <c r="J88" s="174"/>
      <c r="K88" s="174"/>
      <c r="L88" s="174"/>
      <c r="M88" s="174"/>
      <c r="N88" s="174"/>
      <c r="O88" s="174"/>
    </row>
    <row r="89" spans="1:15" x14ac:dyDescent="0.2">
      <c r="A89" s="174"/>
      <c r="B89" s="181" t="s">
        <v>295</v>
      </c>
      <c r="C89" s="184">
        <v>872</v>
      </c>
      <c r="D89" s="184">
        <v>327</v>
      </c>
      <c r="E89" s="183">
        <f t="shared" si="2"/>
        <v>1199</v>
      </c>
      <c r="F89" s="174"/>
      <c r="G89" s="848" t="s">
        <v>288</v>
      </c>
      <c r="H89" s="849">
        <f>ROUNDDOWN((AVERAGE(H85:H88)),1)</f>
        <v>1.5</v>
      </c>
      <c r="I89" s="174"/>
      <c r="J89" s="174"/>
      <c r="K89" s="174"/>
      <c r="L89" s="174"/>
      <c r="M89" s="174"/>
      <c r="N89" s="174"/>
      <c r="O89" s="174"/>
    </row>
    <row r="90" spans="1:15" x14ac:dyDescent="0.2">
      <c r="A90" s="174"/>
      <c r="B90" s="181" t="s">
        <v>296</v>
      </c>
      <c r="C90" s="184">
        <v>3750</v>
      </c>
      <c r="D90" s="184">
        <v>689</v>
      </c>
      <c r="E90" s="183">
        <f t="shared" si="2"/>
        <v>4439</v>
      </c>
      <c r="F90" s="174"/>
      <c r="G90" s="174"/>
      <c r="H90" s="174"/>
      <c r="I90" s="174"/>
      <c r="J90" s="174"/>
      <c r="K90" s="174"/>
      <c r="L90" s="174"/>
      <c r="M90" s="174"/>
      <c r="N90" s="174"/>
      <c r="O90" s="174"/>
    </row>
    <row r="91" spans="1:15" x14ac:dyDescent="0.2">
      <c r="A91" s="174"/>
      <c r="B91" s="181" t="s">
        <v>297</v>
      </c>
      <c r="C91" s="184">
        <v>5055</v>
      </c>
      <c r="D91" s="184">
        <v>545</v>
      </c>
      <c r="E91" s="183">
        <f t="shared" si="2"/>
        <v>5600</v>
      </c>
      <c r="F91" s="174"/>
      <c r="G91" s="174"/>
      <c r="H91" s="174"/>
      <c r="I91" s="174"/>
      <c r="J91" s="174"/>
      <c r="K91" s="174"/>
      <c r="L91" s="174"/>
      <c r="M91" s="174"/>
      <c r="N91" s="174"/>
      <c r="O91" s="174"/>
    </row>
    <row r="92" spans="1:15" x14ac:dyDescent="0.2">
      <c r="A92" s="174"/>
      <c r="B92" s="185"/>
      <c r="C92" s="186"/>
      <c r="D92" s="186"/>
      <c r="E92" s="187"/>
      <c r="F92" s="174"/>
      <c r="G92" s="174"/>
      <c r="H92" s="174"/>
      <c r="I92" s="174"/>
      <c r="J92" s="174"/>
      <c r="K92" s="174"/>
      <c r="L92" s="174"/>
      <c r="M92" s="174"/>
      <c r="N92" s="174"/>
      <c r="O92" s="174"/>
    </row>
    <row r="93" spans="1:15" x14ac:dyDescent="0.2">
      <c r="A93" s="174"/>
      <c r="B93" s="174"/>
      <c r="C93" s="174"/>
      <c r="D93" s="188" t="s">
        <v>288</v>
      </c>
      <c r="E93" s="189">
        <f>ROUNDUP(AVERAGE(E87:E91),2)</f>
        <v>3819.8</v>
      </c>
      <c r="F93" s="174"/>
      <c r="G93" s="174"/>
      <c r="H93" s="174"/>
      <c r="I93" s="174"/>
      <c r="J93" s="174"/>
      <c r="K93" s="174"/>
      <c r="L93" s="174"/>
      <c r="M93" s="174"/>
      <c r="N93" s="174"/>
      <c r="O93" s="174"/>
    </row>
    <row r="97" spans="1:15" ht="12.75" customHeight="1" x14ac:dyDescent="0.2">
      <c r="A97" s="174"/>
      <c r="B97" s="174"/>
      <c r="C97" s="174"/>
      <c r="D97" s="174"/>
      <c r="E97" s="840" t="s">
        <v>298</v>
      </c>
      <c r="F97" s="841"/>
      <c r="G97" s="842"/>
      <c r="H97" s="174"/>
      <c r="I97" s="174"/>
      <c r="J97" s="174"/>
      <c r="K97" s="174"/>
      <c r="L97" s="174"/>
      <c r="M97" s="174"/>
      <c r="N97" s="174"/>
      <c r="O97" s="174"/>
    </row>
    <row r="98" spans="1:15" x14ac:dyDescent="0.2">
      <c r="A98" s="174"/>
      <c r="B98" s="174"/>
      <c r="C98" s="174"/>
      <c r="D98" s="174"/>
      <c r="E98" s="190" t="s">
        <v>299</v>
      </c>
      <c r="F98" s="190" t="s">
        <v>300</v>
      </c>
      <c r="G98" s="190" t="s">
        <v>301</v>
      </c>
      <c r="H98" s="174"/>
      <c r="I98" s="174"/>
      <c r="J98" s="174"/>
      <c r="K98" s="174"/>
      <c r="L98" s="174"/>
      <c r="M98" s="174"/>
      <c r="N98" s="174"/>
      <c r="O98" s="174"/>
    </row>
    <row r="99" spans="1:15" x14ac:dyDescent="0.2">
      <c r="A99" s="174"/>
      <c r="B99" s="174"/>
      <c r="C99" s="174"/>
      <c r="D99" s="180" t="s">
        <v>293</v>
      </c>
      <c r="E99" s="191">
        <v>390</v>
      </c>
      <c r="F99" s="191">
        <v>370</v>
      </c>
      <c r="G99" s="191">
        <v>350</v>
      </c>
      <c r="H99" s="174"/>
      <c r="I99" s="174"/>
      <c r="J99" s="174"/>
      <c r="K99" s="174"/>
      <c r="L99" s="174"/>
      <c r="M99" s="174"/>
      <c r="N99" s="174"/>
      <c r="O99" s="174"/>
    </row>
    <row r="100" spans="1:15" x14ac:dyDescent="0.2">
      <c r="A100" s="174"/>
      <c r="B100" s="174"/>
      <c r="C100" s="174"/>
      <c r="D100" s="192" t="s">
        <v>294</v>
      </c>
      <c r="E100" s="191">
        <v>390</v>
      </c>
      <c r="F100" s="191">
        <v>370</v>
      </c>
      <c r="G100" s="191">
        <v>350</v>
      </c>
      <c r="H100" s="174"/>
      <c r="I100" s="174"/>
      <c r="J100" s="174"/>
      <c r="K100" s="174"/>
      <c r="L100" s="174"/>
      <c r="M100" s="174"/>
      <c r="N100" s="174"/>
      <c r="O100" s="174"/>
    </row>
    <row r="101" spans="1:15" x14ac:dyDescent="0.2">
      <c r="A101" s="174"/>
      <c r="B101" s="174"/>
      <c r="C101" s="174"/>
      <c r="D101" s="192" t="s">
        <v>295</v>
      </c>
      <c r="E101" s="191">
        <v>190</v>
      </c>
      <c r="F101" s="191">
        <v>180</v>
      </c>
      <c r="G101" s="191">
        <v>170</v>
      </c>
      <c r="H101" s="174"/>
      <c r="I101" s="174"/>
      <c r="J101" s="174"/>
      <c r="K101" s="174"/>
      <c r="L101" s="174"/>
      <c r="M101" s="174"/>
      <c r="N101" s="174"/>
      <c r="O101" s="174"/>
    </row>
    <row r="102" spans="1:15" x14ac:dyDescent="0.2">
      <c r="A102" s="174"/>
      <c r="B102" s="174"/>
      <c r="C102" s="174"/>
      <c r="D102" s="192" t="s">
        <v>302</v>
      </c>
      <c r="E102" s="191">
        <v>270</v>
      </c>
      <c r="F102" s="191">
        <v>260</v>
      </c>
      <c r="G102" s="191">
        <v>250</v>
      </c>
      <c r="H102" s="174"/>
      <c r="I102" s="174"/>
      <c r="J102" s="174"/>
      <c r="K102" s="174"/>
      <c r="L102" s="174"/>
      <c r="M102" s="174"/>
      <c r="N102" s="174"/>
      <c r="O102" s="174"/>
    </row>
    <row r="103" spans="1:15" x14ac:dyDescent="0.2">
      <c r="A103" s="174"/>
      <c r="B103" s="174"/>
      <c r="C103" s="174"/>
      <c r="D103" s="192" t="s">
        <v>297</v>
      </c>
      <c r="E103" s="191">
        <v>270</v>
      </c>
      <c r="F103" s="191">
        <v>260</v>
      </c>
      <c r="G103" s="191">
        <v>250</v>
      </c>
      <c r="H103" s="174"/>
      <c r="I103" s="757" t="s">
        <v>303</v>
      </c>
      <c r="J103" s="757"/>
      <c r="K103" s="174"/>
      <c r="L103" s="174"/>
      <c r="M103" s="174"/>
      <c r="N103" s="174"/>
      <c r="O103" s="174"/>
    </row>
    <row r="104" spans="1:15" x14ac:dyDescent="0.2">
      <c r="A104" s="174"/>
      <c r="B104" s="174"/>
      <c r="C104" s="174"/>
      <c r="D104" s="174"/>
      <c r="E104" s="174"/>
      <c r="F104" s="174"/>
      <c r="G104" s="174"/>
      <c r="H104" s="174"/>
      <c r="I104" s="193" t="s">
        <v>304</v>
      </c>
      <c r="J104" s="193" t="s">
        <v>305</v>
      </c>
      <c r="K104" s="174"/>
      <c r="L104" s="174"/>
      <c r="M104" s="174"/>
      <c r="N104" s="174"/>
      <c r="O104" s="174"/>
    </row>
    <row r="105" spans="1:15" x14ac:dyDescent="0.2">
      <c r="A105" s="174"/>
      <c r="B105" s="174"/>
      <c r="C105" s="174"/>
      <c r="D105" s="194" t="s">
        <v>288</v>
      </c>
      <c r="E105" s="195">
        <f>AVERAGE(E99:E103)</f>
        <v>302</v>
      </c>
      <c r="F105" s="195">
        <f t="shared" ref="F105:G105" si="3">AVERAGE(F99:F103)</f>
        <v>288</v>
      </c>
      <c r="G105" s="195">
        <f t="shared" si="3"/>
        <v>274</v>
      </c>
      <c r="H105" s="175"/>
      <c r="I105" s="195">
        <f>AVERAGE(E105:G105)</f>
        <v>288</v>
      </c>
      <c r="J105" s="195">
        <f>ROUND(+I105*I107,2)</f>
        <v>964.8</v>
      </c>
      <c r="K105" s="174"/>
      <c r="L105" s="174"/>
      <c r="M105" s="174"/>
      <c r="N105" s="174"/>
      <c r="O105" s="174"/>
    </row>
    <row r="106" spans="1:15" x14ac:dyDescent="0.2">
      <c r="A106" s="174"/>
      <c r="B106" s="174"/>
      <c r="C106" s="174"/>
      <c r="D106" s="174"/>
      <c r="E106" s="174"/>
      <c r="F106" s="174"/>
      <c r="G106" s="174"/>
      <c r="H106" s="174"/>
      <c r="I106" s="193" t="s">
        <v>305</v>
      </c>
      <c r="J106" s="174"/>
      <c r="K106" s="174"/>
      <c r="L106" s="174"/>
      <c r="M106" s="174"/>
      <c r="N106" s="174"/>
      <c r="O106" s="174"/>
    </row>
    <row r="107" spans="1:15" ht="18" x14ac:dyDescent="0.2">
      <c r="A107" s="174"/>
      <c r="B107" s="174"/>
      <c r="C107" s="174"/>
      <c r="D107" s="174"/>
      <c r="E107" s="174"/>
      <c r="F107" s="196" t="s">
        <v>306</v>
      </c>
      <c r="G107" s="196" t="s">
        <v>307</v>
      </c>
      <c r="H107" s="174"/>
      <c r="I107" s="195">
        <v>3.35</v>
      </c>
      <c r="J107" s="174"/>
      <c r="K107" s="174"/>
      <c r="L107" s="174"/>
      <c r="M107" s="174"/>
      <c r="N107" s="174"/>
      <c r="O107" s="174"/>
    </row>
    <row r="108" spans="1:15" x14ac:dyDescent="0.2">
      <c r="A108" s="174"/>
      <c r="B108" s="174"/>
      <c r="C108" s="174"/>
      <c r="D108" s="174"/>
      <c r="E108" s="174"/>
      <c r="F108" s="197"/>
      <c r="G108" s="198"/>
      <c r="H108" s="174"/>
      <c r="I108" s="174"/>
      <c r="J108" s="174"/>
      <c r="K108" s="174"/>
      <c r="L108" s="174"/>
      <c r="M108" s="174"/>
      <c r="N108" s="174"/>
      <c r="O108" s="174"/>
    </row>
    <row r="110" spans="1:15" x14ac:dyDescent="0.2">
      <c r="A110" s="174"/>
      <c r="B110" s="756" t="s">
        <v>308</v>
      </c>
      <c r="C110" s="756"/>
      <c r="D110" s="756"/>
      <c r="E110" s="756"/>
      <c r="F110" s="756"/>
      <c r="G110" s="756"/>
      <c r="H110" s="174"/>
      <c r="I110" s="174"/>
      <c r="J110" s="174"/>
      <c r="K110" s="174"/>
      <c r="L110" s="174"/>
      <c r="M110" s="174"/>
      <c r="N110" s="174"/>
      <c r="O110" s="174"/>
    </row>
    <row r="111" spans="1:15" ht="63.75" x14ac:dyDescent="0.2">
      <c r="A111" s="174"/>
      <c r="B111" s="199" t="s">
        <v>309</v>
      </c>
      <c r="C111" s="199" t="s">
        <v>310</v>
      </c>
      <c r="D111" s="199" t="s">
        <v>311</v>
      </c>
      <c r="E111" s="199" t="s">
        <v>312</v>
      </c>
      <c r="F111" s="199" t="s">
        <v>313</v>
      </c>
      <c r="G111" s="190" t="s">
        <v>314</v>
      </c>
      <c r="H111" s="174"/>
      <c r="I111" s="174"/>
      <c r="J111" s="174"/>
      <c r="K111" s="174"/>
      <c r="L111" s="174"/>
      <c r="M111" s="174"/>
      <c r="N111" s="174"/>
      <c r="O111" s="174"/>
    </row>
    <row r="112" spans="1:15" ht="28.5" customHeight="1" x14ac:dyDescent="0.2">
      <c r="A112" s="174"/>
      <c r="B112" s="200" t="s">
        <v>315</v>
      </c>
      <c r="C112" s="201">
        <v>321.10000000000002</v>
      </c>
      <c r="D112" s="201">
        <v>304.2</v>
      </c>
      <c r="E112" s="201">
        <v>287.3</v>
      </c>
      <c r="F112" s="202">
        <v>253.5</v>
      </c>
      <c r="G112" s="202">
        <f>AVERAGE(C112:F112)</f>
        <v>291.52499999999998</v>
      </c>
      <c r="H112" s="174"/>
      <c r="I112" s="174"/>
      <c r="J112" s="174"/>
      <c r="K112" s="174"/>
      <c r="L112" s="174"/>
      <c r="M112" s="174"/>
      <c r="N112" s="174"/>
      <c r="O112" s="174"/>
    </row>
    <row r="113" spans="1:15" ht="38.25" x14ac:dyDescent="0.2">
      <c r="A113" s="174"/>
      <c r="B113" s="203" t="s">
        <v>316</v>
      </c>
      <c r="C113" s="201">
        <v>267.89999999999998</v>
      </c>
      <c r="D113" s="201">
        <v>253.8</v>
      </c>
      <c r="E113" s="201">
        <v>239.7</v>
      </c>
      <c r="F113" s="202">
        <v>211.5</v>
      </c>
      <c r="G113" s="202">
        <f>AVERAGE(C113:F113)</f>
        <v>243.22500000000002</v>
      </c>
      <c r="H113" s="174"/>
      <c r="I113" s="174"/>
      <c r="J113" s="174"/>
      <c r="K113" s="174"/>
      <c r="L113" s="174"/>
      <c r="M113" s="174"/>
      <c r="N113" s="174"/>
      <c r="O113" s="174"/>
    </row>
    <row r="114" spans="1:15" ht="25.5" x14ac:dyDescent="0.2">
      <c r="A114" s="174"/>
      <c r="B114" s="203" t="s">
        <v>317</v>
      </c>
      <c r="C114" s="201">
        <v>224.2</v>
      </c>
      <c r="D114" s="201">
        <v>212.4</v>
      </c>
      <c r="E114" s="201">
        <v>200.6</v>
      </c>
      <c r="F114" s="202">
        <v>177</v>
      </c>
      <c r="G114" s="202">
        <f>AVERAGE(C114:F114)</f>
        <v>203.55</v>
      </c>
      <c r="H114" s="174"/>
      <c r="I114" s="174"/>
      <c r="J114" s="174"/>
      <c r="K114" s="174"/>
      <c r="L114" s="174"/>
      <c r="M114" s="174"/>
      <c r="N114" s="174"/>
      <c r="O114" s="174"/>
    </row>
    <row r="115" spans="1:15" ht="32.25" customHeight="1" x14ac:dyDescent="0.2">
      <c r="A115" s="174"/>
      <c r="B115" s="761" t="s">
        <v>318</v>
      </c>
      <c r="C115" s="762"/>
      <c r="D115" s="762"/>
      <c r="E115" s="762"/>
      <c r="F115" s="763"/>
      <c r="G115" s="204">
        <f>ROUNDUP(AVERAGE(G112:G114),2)</f>
        <v>246.1</v>
      </c>
      <c r="H115" s="174"/>
      <c r="I115" s="174"/>
      <c r="J115" s="174"/>
      <c r="K115" s="174"/>
      <c r="L115" s="174"/>
      <c r="M115" s="174"/>
      <c r="N115" s="174"/>
      <c r="O115" s="174"/>
    </row>
    <row r="116" spans="1:15" ht="51" x14ac:dyDescent="0.2">
      <c r="A116" s="174"/>
      <c r="B116" s="205" t="s">
        <v>319</v>
      </c>
      <c r="C116" s="206">
        <v>224.2</v>
      </c>
      <c r="D116" s="206">
        <v>212.4</v>
      </c>
      <c r="E116" s="206">
        <v>200.6</v>
      </c>
      <c r="F116" s="207">
        <v>177</v>
      </c>
      <c r="G116" s="207">
        <f>AVERAGE(C116:F116)</f>
        <v>203.55</v>
      </c>
      <c r="H116" s="174"/>
      <c r="I116" s="174"/>
      <c r="J116" s="174"/>
      <c r="K116" s="174"/>
      <c r="L116" s="174"/>
      <c r="M116" s="174"/>
      <c r="N116" s="174"/>
      <c r="O116" s="174"/>
    </row>
    <row r="117" spans="1:15" ht="37.5" customHeight="1" x14ac:dyDescent="0.2">
      <c r="A117" s="174"/>
      <c r="B117" s="758" t="s">
        <v>320</v>
      </c>
      <c r="C117" s="759"/>
      <c r="D117" s="759"/>
      <c r="E117" s="759"/>
      <c r="F117" s="760"/>
      <c r="G117" s="204">
        <f>ROUNDUP(AVERAGE(G116),2)</f>
        <v>203.55</v>
      </c>
      <c r="H117" s="174"/>
      <c r="I117" s="174"/>
      <c r="J117" s="174"/>
      <c r="K117" s="174"/>
      <c r="L117" s="174"/>
      <c r="M117" s="174"/>
      <c r="N117" s="174"/>
      <c r="O117" s="174"/>
    </row>
  </sheetData>
  <mergeCells count="29">
    <mergeCell ref="I103:J103"/>
    <mergeCell ref="E97:G97"/>
    <mergeCell ref="E85:E86"/>
    <mergeCell ref="C85:D85"/>
    <mergeCell ref="G84:H84"/>
    <mergeCell ref="A1:G1"/>
    <mergeCell ref="A3:G3"/>
    <mergeCell ref="B5:F5"/>
    <mergeCell ref="A7:A8"/>
    <mergeCell ref="B7:B8"/>
    <mergeCell ref="C7:C8"/>
    <mergeCell ref="D7:D8"/>
    <mergeCell ref="E7:E8"/>
    <mergeCell ref="F7:G7"/>
    <mergeCell ref="B32:F32"/>
    <mergeCell ref="B56:F56"/>
    <mergeCell ref="B58:F58"/>
    <mergeCell ref="B60:F60"/>
    <mergeCell ref="B61:F61"/>
    <mergeCell ref="B63:F63"/>
    <mergeCell ref="B65:F65"/>
    <mergeCell ref="A67:F67"/>
    <mergeCell ref="B110:G110"/>
    <mergeCell ref="B117:F117"/>
    <mergeCell ref="B115:F115"/>
    <mergeCell ref="E73:E74"/>
    <mergeCell ref="D73:D74"/>
    <mergeCell ref="C73:C74"/>
    <mergeCell ref="B73:B74"/>
  </mergeCells>
  <pageMargins left="0.511811024" right="0.511811024" top="0.78740157499999996" bottom="0.78740157499999996" header="0.31496062000000002" footer="0.31496062000000002"/>
  <pageSetup paperSize="9" scale="3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AW33"/>
  <sheetViews>
    <sheetView zoomScale="70" zoomScaleNormal="70" zoomScaleSheetLayoutView="55" zoomScalePageLayoutView="85" workbookViewId="0">
      <pane xSplit="4" ySplit="4" topLeftCell="G5" activePane="bottomRight" state="frozen"/>
      <selection activeCell="E10" sqref="E10"/>
      <selection pane="topRight" activeCell="E10" sqref="E10"/>
      <selection pane="bottomLeft" activeCell="E10" sqref="E10"/>
      <selection pane="bottomRight" activeCell="AY35" sqref="AY35:AY37"/>
    </sheetView>
  </sheetViews>
  <sheetFormatPr defaultColWidth="8.7109375" defaultRowHeight="15" x14ac:dyDescent="0.25"/>
  <cols>
    <col min="1" max="1" width="13.85546875" customWidth="1"/>
    <col min="2" max="2" width="41" customWidth="1"/>
    <col min="3" max="3" width="67.140625" customWidth="1"/>
    <col min="4" max="4" width="14" customWidth="1"/>
    <col min="5" max="5" width="13.85546875" customWidth="1"/>
    <col min="6" max="6" width="11.140625" customWidth="1"/>
    <col min="7" max="7" width="12.5703125" customWidth="1"/>
    <col min="8" max="8" width="13.85546875" customWidth="1"/>
    <col min="9" max="9" width="11.140625" customWidth="1"/>
    <col min="10" max="10" width="12.5703125" customWidth="1"/>
    <col min="11" max="11" width="13.85546875" customWidth="1"/>
    <col min="12" max="12" width="11.140625" customWidth="1"/>
    <col min="13" max="13" width="12.5703125" customWidth="1"/>
    <col min="14" max="14" width="13.85546875" customWidth="1"/>
    <col min="15" max="15" width="11.140625" customWidth="1"/>
    <col min="16" max="16" width="12.5703125" customWidth="1"/>
    <col min="17" max="17" width="13.85546875" customWidth="1"/>
    <col min="18" max="18" width="11.140625" customWidth="1"/>
    <col min="19" max="19" width="12.5703125" customWidth="1"/>
    <col min="20" max="20" width="13.85546875" customWidth="1"/>
    <col min="21" max="21" width="11.140625" customWidth="1"/>
    <col min="22" max="22" width="12.140625" customWidth="1"/>
    <col min="23" max="23" width="13.85546875" customWidth="1"/>
    <col min="24" max="24" width="12.5703125" customWidth="1"/>
    <col min="25" max="25" width="11.140625" customWidth="1"/>
    <col min="26" max="26" width="12.5703125" customWidth="1"/>
    <col min="27" max="27" width="13.85546875" customWidth="1"/>
    <col min="28" max="28" width="12.5703125" customWidth="1"/>
    <col min="29" max="29" width="11.140625" customWidth="1"/>
    <col min="30" max="30" width="13" customWidth="1"/>
    <col min="31" max="31" width="13.85546875" customWidth="1"/>
    <col min="32" max="32" width="12.5703125" customWidth="1"/>
    <col min="33" max="33" width="11.140625" customWidth="1"/>
    <col min="34" max="34" width="13" customWidth="1"/>
    <col min="35" max="35" width="13.85546875" customWidth="1"/>
    <col min="36" max="36" width="11.140625" customWidth="1"/>
    <col min="37" max="37" width="13" customWidth="1"/>
    <col min="38" max="38" width="13.85546875" customWidth="1"/>
    <col min="39" max="39" width="11.140625" customWidth="1"/>
    <col min="40" max="40" width="12.140625" customWidth="1"/>
    <col min="41" max="41" width="13.85546875" customWidth="1"/>
    <col min="42" max="42" width="11.140625" customWidth="1"/>
    <col min="43" max="43" width="13" customWidth="1"/>
    <col min="44" max="44" width="8.7109375" customWidth="1"/>
    <col min="45" max="45" width="31.85546875" customWidth="1"/>
    <col min="46" max="48" width="20.28515625" bestFit="1" customWidth="1"/>
    <col min="49" max="49" width="23.140625" bestFit="1" customWidth="1"/>
  </cols>
  <sheetData>
    <row r="1" spans="1:49" ht="34.5" customHeight="1" thickBot="1" x14ac:dyDescent="0.3">
      <c r="A1" s="789" t="s">
        <v>24</v>
      </c>
      <c r="B1" s="790"/>
      <c r="C1" s="790"/>
      <c r="D1" s="791"/>
    </row>
    <row r="2" spans="1:49" ht="23.25" customHeight="1" x14ac:dyDescent="0.25">
      <c r="A2" s="792" t="s">
        <v>27</v>
      </c>
      <c r="B2" s="794" t="s">
        <v>28</v>
      </c>
      <c r="C2" s="794" t="s">
        <v>29</v>
      </c>
      <c r="D2" s="796" t="s">
        <v>30</v>
      </c>
      <c r="E2" s="798" t="s">
        <v>33</v>
      </c>
      <c r="F2" s="799"/>
      <c r="G2" s="799"/>
      <c r="H2" s="799"/>
      <c r="I2" s="799"/>
      <c r="J2" s="799"/>
      <c r="K2" s="799"/>
      <c r="L2" s="799"/>
      <c r="M2" s="799"/>
      <c r="N2" s="800" t="s">
        <v>34</v>
      </c>
      <c r="O2" s="800"/>
      <c r="P2" s="800"/>
      <c r="Q2" s="800"/>
      <c r="R2" s="800"/>
      <c r="S2" s="800"/>
      <c r="T2" s="800"/>
      <c r="U2" s="800"/>
      <c r="V2" s="800"/>
      <c r="W2" s="799" t="s">
        <v>321</v>
      </c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800" t="s">
        <v>32</v>
      </c>
      <c r="AJ2" s="800"/>
      <c r="AK2" s="800"/>
      <c r="AL2" s="800"/>
      <c r="AM2" s="800"/>
      <c r="AN2" s="800"/>
      <c r="AO2" s="800"/>
      <c r="AP2" s="800"/>
      <c r="AQ2" s="800"/>
      <c r="AT2" s="801" t="s">
        <v>322</v>
      </c>
      <c r="AU2" s="802"/>
      <c r="AV2" s="802"/>
      <c r="AW2" s="803"/>
    </row>
    <row r="3" spans="1:49" ht="30" customHeight="1" x14ac:dyDescent="0.25">
      <c r="A3" s="793"/>
      <c r="B3" s="795"/>
      <c r="C3" s="795"/>
      <c r="D3" s="797"/>
      <c r="E3" s="785" t="s">
        <v>323</v>
      </c>
      <c r="F3" s="783"/>
      <c r="G3" s="783"/>
      <c r="H3" s="783" t="s">
        <v>324</v>
      </c>
      <c r="I3" s="783"/>
      <c r="J3" s="783"/>
      <c r="K3" s="782" t="s">
        <v>325</v>
      </c>
      <c r="L3" s="782"/>
      <c r="M3" s="782"/>
      <c r="N3" s="783" t="s">
        <v>323</v>
      </c>
      <c r="O3" s="783"/>
      <c r="P3" s="783"/>
      <c r="Q3" s="783" t="s">
        <v>324</v>
      </c>
      <c r="R3" s="783"/>
      <c r="S3" s="783"/>
      <c r="T3" s="782" t="s">
        <v>325</v>
      </c>
      <c r="U3" s="782"/>
      <c r="V3" s="782"/>
      <c r="W3" s="783" t="s">
        <v>323</v>
      </c>
      <c r="X3" s="783"/>
      <c r="Y3" s="783"/>
      <c r="Z3" s="783"/>
      <c r="AA3" s="783" t="s">
        <v>324</v>
      </c>
      <c r="AB3" s="783"/>
      <c r="AC3" s="783"/>
      <c r="AD3" s="783"/>
      <c r="AE3" s="782" t="s">
        <v>325</v>
      </c>
      <c r="AF3" s="782"/>
      <c r="AG3" s="782"/>
      <c r="AH3" s="782"/>
      <c r="AI3" s="783" t="s">
        <v>323</v>
      </c>
      <c r="AJ3" s="783"/>
      <c r="AK3" s="783"/>
      <c r="AL3" s="784" t="s">
        <v>324</v>
      </c>
      <c r="AM3" s="784"/>
      <c r="AN3" s="784"/>
      <c r="AO3" s="782" t="s">
        <v>325</v>
      </c>
      <c r="AP3" s="782"/>
      <c r="AQ3" s="782"/>
      <c r="AT3" s="208" t="s">
        <v>325</v>
      </c>
      <c r="AU3" s="208" t="s">
        <v>325</v>
      </c>
      <c r="AV3" s="208" t="s">
        <v>325</v>
      </c>
      <c r="AW3" s="208" t="s">
        <v>325</v>
      </c>
    </row>
    <row r="4" spans="1:49" ht="25.5" customHeight="1" x14ac:dyDescent="0.25">
      <c r="A4" s="793"/>
      <c r="B4" s="795"/>
      <c r="C4" s="795"/>
      <c r="D4" s="797"/>
      <c r="E4" s="373" t="s">
        <v>326</v>
      </c>
      <c r="F4" s="209" t="s">
        <v>327</v>
      </c>
      <c r="G4" s="16" t="s">
        <v>328</v>
      </c>
      <c r="H4" s="16" t="s">
        <v>326</v>
      </c>
      <c r="I4" s="209" t="s">
        <v>327</v>
      </c>
      <c r="J4" s="16" t="s">
        <v>328</v>
      </c>
      <c r="K4" s="210" t="s">
        <v>326</v>
      </c>
      <c r="L4" s="211" t="s">
        <v>327</v>
      </c>
      <c r="M4" s="210" t="s">
        <v>328</v>
      </c>
      <c r="N4" s="16" t="s">
        <v>326</v>
      </c>
      <c r="O4" s="209" t="s">
        <v>327</v>
      </c>
      <c r="P4" s="16" t="s">
        <v>328</v>
      </c>
      <c r="Q4" s="16" t="s">
        <v>326</v>
      </c>
      <c r="R4" s="209" t="s">
        <v>327</v>
      </c>
      <c r="S4" s="16" t="s">
        <v>328</v>
      </c>
      <c r="T4" s="210" t="s">
        <v>326</v>
      </c>
      <c r="U4" s="211" t="s">
        <v>327</v>
      </c>
      <c r="V4" s="210" t="s">
        <v>328</v>
      </c>
      <c r="W4" s="16" t="s">
        <v>326</v>
      </c>
      <c r="X4" s="16" t="s">
        <v>105</v>
      </c>
      <c r="Y4" s="209" t="s">
        <v>327</v>
      </c>
      <c r="Z4" s="16" t="s">
        <v>328</v>
      </c>
      <c r="AA4" s="16" t="s">
        <v>326</v>
      </c>
      <c r="AB4" s="16" t="s">
        <v>105</v>
      </c>
      <c r="AC4" s="209" t="s">
        <v>327</v>
      </c>
      <c r="AD4" s="16" t="s">
        <v>328</v>
      </c>
      <c r="AE4" s="210" t="s">
        <v>326</v>
      </c>
      <c r="AF4" s="210" t="s">
        <v>105</v>
      </c>
      <c r="AG4" s="211" t="s">
        <v>327</v>
      </c>
      <c r="AH4" s="210" t="s">
        <v>328</v>
      </c>
      <c r="AI4" s="16" t="s">
        <v>326</v>
      </c>
      <c r="AJ4" s="209" t="s">
        <v>327</v>
      </c>
      <c r="AK4" s="16" t="s">
        <v>328</v>
      </c>
      <c r="AL4" s="212" t="s">
        <v>326</v>
      </c>
      <c r="AM4" s="213" t="s">
        <v>327</v>
      </c>
      <c r="AN4" s="212" t="s">
        <v>328</v>
      </c>
      <c r="AO4" s="210" t="s">
        <v>326</v>
      </c>
      <c r="AP4" s="211" t="s">
        <v>327</v>
      </c>
      <c r="AQ4" s="210" t="s">
        <v>328</v>
      </c>
      <c r="AT4" s="214" t="s">
        <v>32</v>
      </c>
      <c r="AU4" s="214" t="s">
        <v>33</v>
      </c>
      <c r="AV4" s="214" t="s">
        <v>34</v>
      </c>
      <c r="AW4" s="214" t="s">
        <v>329</v>
      </c>
    </row>
    <row r="5" spans="1:49" x14ac:dyDescent="0.25">
      <c r="A5" s="215" t="s">
        <v>330</v>
      </c>
      <c r="B5" s="216" t="s">
        <v>88</v>
      </c>
      <c r="C5" s="216" t="s">
        <v>81</v>
      </c>
      <c r="D5" s="375">
        <v>402</v>
      </c>
      <c r="E5" s="374">
        <f>7000/$D5</f>
        <v>17.412935323383085</v>
      </c>
      <c r="F5" s="218">
        <v>29</v>
      </c>
      <c r="G5" s="217">
        <f>E5+F5</f>
        <v>46.412935323383081</v>
      </c>
      <c r="H5" s="217">
        <f>6652.88/D5</f>
        <v>16.549452736318408</v>
      </c>
      <c r="I5" s="218">
        <f>81.02+45.77</f>
        <v>126.78999999999999</v>
      </c>
      <c r="J5" s="217">
        <f t="shared" ref="J5:J24" si="0">H5+I5</f>
        <v>143.33945273631841</v>
      </c>
      <c r="K5" s="219">
        <v>0</v>
      </c>
      <c r="L5" s="218">
        <v>64</v>
      </c>
      <c r="M5" s="219">
        <f t="shared" ref="M5:M24" si="1">K5+L5</f>
        <v>64</v>
      </c>
      <c r="N5" s="217">
        <f>7000/$D5</f>
        <v>17.412935323383085</v>
      </c>
      <c r="O5" s="218">
        <v>31</v>
      </c>
      <c r="P5" s="217">
        <f t="shared" ref="P5:P24" si="2">N5+O5</f>
        <v>48.412935323383081</v>
      </c>
      <c r="Q5" s="217">
        <f>6652.88/D5</f>
        <v>16.549452736318408</v>
      </c>
      <c r="R5" s="218">
        <v>65.319999999999993</v>
      </c>
      <c r="S5" s="217">
        <f t="shared" ref="S5:S24" si="3">Q5+R5</f>
        <v>81.869452736318408</v>
      </c>
      <c r="T5" s="219">
        <v>0</v>
      </c>
      <c r="U5" s="218">
        <v>72</v>
      </c>
      <c r="V5" s="219">
        <f t="shared" ref="V5:V24" si="4">T5+U5</f>
        <v>72</v>
      </c>
      <c r="W5" s="217">
        <f>2500/X5</f>
        <v>40.983606557377051</v>
      </c>
      <c r="X5" s="220">
        <v>61</v>
      </c>
      <c r="Y5" s="218">
        <v>350</v>
      </c>
      <c r="Z5" s="221">
        <f>W5+Y5</f>
        <v>390.98360655737707</v>
      </c>
      <c r="AA5" s="221">
        <f>3612.5/D5</f>
        <v>8.9863184079601997</v>
      </c>
      <c r="AB5" s="220">
        <v>61</v>
      </c>
      <c r="AC5" s="218">
        <v>400</v>
      </c>
      <c r="AD5" s="221">
        <f t="shared" ref="AD5:AD24" si="5">AA5+AC5</f>
        <v>408.9863184079602</v>
      </c>
      <c r="AE5" s="222">
        <v>0</v>
      </c>
      <c r="AF5" s="223">
        <v>61</v>
      </c>
      <c r="AG5" s="218">
        <v>240</v>
      </c>
      <c r="AH5" s="222">
        <f t="shared" ref="AH5:AH24" si="6">AE5+AG5</f>
        <v>240</v>
      </c>
      <c r="AI5" s="221">
        <v>0</v>
      </c>
      <c r="AJ5" s="224">
        <v>250</v>
      </c>
      <c r="AK5" s="221">
        <f>AI5+AJ5</f>
        <v>250</v>
      </c>
      <c r="AL5" s="225">
        <f>8936.2/D5</f>
        <v>22.229353233830846</v>
      </c>
      <c r="AM5" s="224">
        <v>207.05</v>
      </c>
      <c r="AN5" s="225">
        <f>AL5+AM5</f>
        <v>229.27935323383085</v>
      </c>
      <c r="AO5" s="222">
        <v>0</v>
      </c>
      <c r="AP5" s="224">
        <v>238</v>
      </c>
      <c r="AQ5" s="222">
        <f>AO5+AP5</f>
        <v>238</v>
      </c>
      <c r="AT5" s="226">
        <f>AQ5</f>
        <v>238</v>
      </c>
      <c r="AU5" s="226">
        <f>M5</f>
        <v>64</v>
      </c>
      <c r="AV5" s="226">
        <f>V5</f>
        <v>72</v>
      </c>
      <c r="AW5" s="226">
        <f>AH5</f>
        <v>240</v>
      </c>
    </row>
    <row r="6" spans="1:49" x14ac:dyDescent="0.25">
      <c r="A6" s="376" t="s">
        <v>330</v>
      </c>
      <c r="B6" s="227" t="s">
        <v>90</v>
      </c>
      <c r="C6" s="216" t="s">
        <v>83</v>
      </c>
      <c r="D6" s="375">
        <v>179.9</v>
      </c>
      <c r="E6" s="374">
        <f t="shared" ref="E6:E24" si="7">7000/D6</f>
        <v>38.910505836575872</v>
      </c>
      <c r="F6" s="218">
        <v>29</v>
      </c>
      <c r="G6" s="217">
        <f t="shared" ref="G6:G24" si="8">E6+F6</f>
        <v>67.910505836575879</v>
      </c>
      <c r="H6" s="217">
        <f>6652.88/D6</f>
        <v>36.980989438576984</v>
      </c>
      <c r="I6" s="218">
        <f t="shared" ref="I6:I24" si="9">81.02+45.77</f>
        <v>126.78999999999999</v>
      </c>
      <c r="J6" s="217">
        <f t="shared" si="0"/>
        <v>163.77098943857698</v>
      </c>
      <c r="K6" s="219">
        <v>0</v>
      </c>
      <c r="L6" s="218">
        <v>64</v>
      </c>
      <c r="M6" s="219">
        <f t="shared" si="1"/>
        <v>64</v>
      </c>
      <c r="N6" s="217">
        <f t="shared" ref="N6:N24" si="10">7000/$D6</f>
        <v>38.910505836575872</v>
      </c>
      <c r="O6" s="218">
        <v>31</v>
      </c>
      <c r="P6" s="217">
        <f t="shared" si="2"/>
        <v>69.910505836575879</v>
      </c>
      <c r="Q6" s="217">
        <f>6652.88/D6</f>
        <v>36.980989438576984</v>
      </c>
      <c r="R6" s="218">
        <v>65.319999999999993</v>
      </c>
      <c r="S6" s="217">
        <f t="shared" si="3"/>
        <v>102.30098943857698</v>
      </c>
      <c r="T6" s="219">
        <v>0</v>
      </c>
      <c r="U6" s="218">
        <v>72</v>
      </c>
      <c r="V6" s="219">
        <f t="shared" si="4"/>
        <v>72</v>
      </c>
      <c r="W6" s="217">
        <f t="shared" ref="W6:W24" si="11">2500/X6</f>
        <v>92.592592592592595</v>
      </c>
      <c r="X6" s="220">
        <v>27</v>
      </c>
      <c r="Y6" s="218">
        <v>350</v>
      </c>
      <c r="Z6" s="221">
        <f t="shared" ref="Z6:Z24" si="12">W6+Y6</f>
        <v>442.59259259259261</v>
      </c>
      <c r="AA6" s="221">
        <f>3612.5/D6</f>
        <v>20.080600333518621</v>
      </c>
      <c r="AB6" s="220">
        <v>27</v>
      </c>
      <c r="AC6" s="218">
        <v>400</v>
      </c>
      <c r="AD6" s="221">
        <f t="shared" si="5"/>
        <v>420.08060033351865</v>
      </c>
      <c r="AE6" s="222">
        <v>0</v>
      </c>
      <c r="AF6" s="223">
        <v>27</v>
      </c>
      <c r="AG6" s="218">
        <v>240</v>
      </c>
      <c r="AH6" s="222">
        <f t="shared" si="6"/>
        <v>240</v>
      </c>
      <c r="AI6" s="221">
        <v>0</v>
      </c>
      <c r="AJ6" s="224">
        <v>250</v>
      </c>
      <c r="AK6" s="221">
        <f t="shared" ref="AK6:AK24" si="13">AI6+AJ6</f>
        <v>250</v>
      </c>
      <c r="AL6" s="225">
        <f>8936.2/D6</f>
        <v>49.673151750972764</v>
      </c>
      <c r="AM6" s="224">
        <v>207.05</v>
      </c>
      <c r="AN6" s="225">
        <f t="shared" ref="AN6:AN24" si="14">AL6+AM6</f>
        <v>256.72315175097276</v>
      </c>
      <c r="AO6" s="222">
        <v>0</v>
      </c>
      <c r="AP6" s="224">
        <v>238</v>
      </c>
      <c r="AQ6" s="222">
        <f t="shared" ref="AQ6:AQ24" si="15">AO6+AP6</f>
        <v>238</v>
      </c>
      <c r="AT6" s="228">
        <f t="shared" ref="AT6:AT24" si="16">AQ6</f>
        <v>238</v>
      </c>
      <c r="AU6" s="228">
        <f t="shared" ref="AU6:AU24" si="17">M6</f>
        <v>64</v>
      </c>
      <c r="AV6" s="228">
        <f t="shared" ref="AV6:AV24" si="18">V6</f>
        <v>72</v>
      </c>
      <c r="AW6" s="228">
        <f t="shared" ref="AW6:AW24" si="19">AH6</f>
        <v>240</v>
      </c>
    </row>
    <row r="7" spans="1:49" x14ac:dyDescent="0.25">
      <c r="A7" s="376" t="s">
        <v>330</v>
      </c>
      <c r="B7" s="227" t="s">
        <v>42</v>
      </c>
      <c r="C7" s="216" t="s">
        <v>331</v>
      </c>
      <c r="D7" s="375">
        <v>142.5</v>
      </c>
      <c r="E7" s="374">
        <f t="shared" si="7"/>
        <v>49.122807017543863</v>
      </c>
      <c r="F7" s="218">
        <v>29</v>
      </c>
      <c r="G7" s="217">
        <f t="shared" si="8"/>
        <v>78.122807017543863</v>
      </c>
      <c r="H7" s="217">
        <f>6652.88/D7</f>
        <v>46.686877192982458</v>
      </c>
      <c r="I7" s="218">
        <f t="shared" si="9"/>
        <v>126.78999999999999</v>
      </c>
      <c r="J7" s="217">
        <f t="shared" si="0"/>
        <v>173.47687719298244</v>
      </c>
      <c r="K7" s="219">
        <v>0</v>
      </c>
      <c r="L7" s="218">
        <v>64</v>
      </c>
      <c r="M7" s="219">
        <f t="shared" si="1"/>
        <v>64</v>
      </c>
      <c r="N7" s="217">
        <f t="shared" si="10"/>
        <v>49.122807017543863</v>
      </c>
      <c r="O7" s="218">
        <v>31</v>
      </c>
      <c r="P7" s="217">
        <f t="shared" si="2"/>
        <v>80.122807017543863</v>
      </c>
      <c r="Q7" s="217">
        <f>6652.88/D7</f>
        <v>46.686877192982458</v>
      </c>
      <c r="R7" s="218">
        <v>65.319999999999993</v>
      </c>
      <c r="S7" s="217">
        <f t="shared" si="3"/>
        <v>112.00687719298244</v>
      </c>
      <c r="T7" s="219">
        <v>0</v>
      </c>
      <c r="U7" s="218">
        <v>72</v>
      </c>
      <c r="V7" s="219">
        <f t="shared" si="4"/>
        <v>72</v>
      </c>
      <c r="W7" s="217">
        <f t="shared" si="11"/>
        <v>113.63636363636364</v>
      </c>
      <c r="X7" s="220">
        <v>22</v>
      </c>
      <c r="Y7" s="218">
        <v>350</v>
      </c>
      <c r="Z7" s="221">
        <f t="shared" si="12"/>
        <v>463.63636363636363</v>
      </c>
      <c r="AA7" s="221">
        <f>3612.5/D7</f>
        <v>25.350877192982455</v>
      </c>
      <c r="AB7" s="220">
        <v>22</v>
      </c>
      <c r="AC7" s="218">
        <v>400</v>
      </c>
      <c r="AD7" s="221">
        <f t="shared" si="5"/>
        <v>425.35087719298247</v>
      </c>
      <c r="AE7" s="222">
        <v>0</v>
      </c>
      <c r="AF7" s="223">
        <v>22</v>
      </c>
      <c r="AG7" s="218">
        <v>240</v>
      </c>
      <c r="AH7" s="222">
        <f t="shared" si="6"/>
        <v>240</v>
      </c>
      <c r="AI7" s="221">
        <v>0</v>
      </c>
      <c r="AJ7" s="224">
        <v>250</v>
      </c>
      <c r="AK7" s="221">
        <f t="shared" si="13"/>
        <v>250</v>
      </c>
      <c r="AL7" s="225">
        <f>8936.2/D7</f>
        <v>62.710175438596494</v>
      </c>
      <c r="AM7" s="224">
        <v>207.05</v>
      </c>
      <c r="AN7" s="225">
        <f t="shared" si="14"/>
        <v>269.76017543859649</v>
      </c>
      <c r="AO7" s="222">
        <v>0</v>
      </c>
      <c r="AP7" s="224">
        <v>238</v>
      </c>
      <c r="AQ7" s="222">
        <f t="shared" si="15"/>
        <v>238</v>
      </c>
      <c r="AT7" s="228">
        <f t="shared" si="16"/>
        <v>238</v>
      </c>
      <c r="AU7" s="228">
        <f t="shared" si="17"/>
        <v>64</v>
      </c>
      <c r="AV7" s="228">
        <f t="shared" si="18"/>
        <v>72</v>
      </c>
      <c r="AW7" s="228">
        <f t="shared" si="19"/>
        <v>240</v>
      </c>
    </row>
    <row r="8" spans="1:49" x14ac:dyDescent="0.25">
      <c r="A8" s="376" t="s">
        <v>330</v>
      </c>
      <c r="B8" s="227" t="s">
        <v>52</v>
      </c>
      <c r="C8" s="216" t="s">
        <v>332</v>
      </c>
      <c r="D8" s="375">
        <v>121</v>
      </c>
      <c r="E8" s="374">
        <f t="shared" si="7"/>
        <v>57.851239669421489</v>
      </c>
      <c r="F8" s="218">
        <v>29</v>
      </c>
      <c r="G8" s="217">
        <f t="shared" si="8"/>
        <v>86.851239669421489</v>
      </c>
      <c r="H8" s="217">
        <f>13305.76/D8</f>
        <v>109.96495867768596</v>
      </c>
      <c r="I8" s="218">
        <f t="shared" si="9"/>
        <v>126.78999999999999</v>
      </c>
      <c r="J8" s="217">
        <f t="shared" si="0"/>
        <v>236.75495867768595</v>
      </c>
      <c r="K8" s="219">
        <v>0</v>
      </c>
      <c r="L8" s="218">
        <v>64</v>
      </c>
      <c r="M8" s="219">
        <f t="shared" si="1"/>
        <v>64</v>
      </c>
      <c r="N8" s="217">
        <f t="shared" si="10"/>
        <v>57.851239669421489</v>
      </c>
      <c r="O8" s="218">
        <v>31</v>
      </c>
      <c r="P8" s="217">
        <f t="shared" si="2"/>
        <v>88.851239669421489</v>
      </c>
      <c r="Q8" s="217">
        <f>13305.76/D8</f>
        <v>109.96495867768596</v>
      </c>
      <c r="R8" s="218">
        <v>65.319999999999993</v>
      </c>
      <c r="S8" s="217">
        <f t="shared" si="3"/>
        <v>175.28495867768595</v>
      </c>
      <c r="T8" s="219">
        <v>0</v>
      </c>
      <c r="U8" s="218">
        <v>72</v>
      </c>
      <c r="V8" s="219">
        <f t="shared" si="4"/>
        <v>72</v>
      </c>
      <c r="W8" s="217">
        <f t="shared" si="11"/>
        <v>131.57894736842104</v>
      </c>
      <c r="X8" s="220">
        <v>19</v>
      </c>
      <c r="Y8" s="218">
        <v>350</v>
      </c>
      <c r="Z8" s="221">
        <f t="shared" si="12"/>
        <v>481.57894736842104</v>
      </c>
      <c r="AA8" s="221">
        <f>7225/D8</f>
        <v>59.710743801652896</v>
      </c>
      <c r="AB8" s="220">
        <v>19</v>
      </c>
      <c r="AC8" s="218">
        <v>400</v>
      </c>
      <c r="AD8" s="221">
        <f t="shared" si="5"/>
        <v>459.71074380165288</v>
      </c>
      <c r="AE8" s="222">
        <v>0</v>
      </c>
      <c r="AF8" s="223">
        <v>19</v>
      </c>
      <c r="AG8" s="218">
        <v>240</v>
      </c>
      <c r="AH8" s="222">
        <f t="shared" si="6"/>
        <v>240</v>
      </c>
      <c r="AI8" s="221">
        <v>0</v>
      </c>
      <c r="AJ8" s="224">
        <v>250</v>
      </c>
      <c r="AK8" s="221">
        <f t="shared" si="13"/>
        <v>250</v>
      </c>
      <c r="AL8" s="225">
        <f>17872.41/D8</f>
        <v>147.70586776859503</v>
      </c>
      <c r="AM8" s="224">
        <v>207.05</v>
      </c>
      <c r="AN8" s="225">
        <f t="shared" si="14"/>
        <v>354.75586776859507</v>
      </c>
      <c r="AO8" s="222">
        <v>0</v>
      </c>
      <c r="AP8" s="224">
        <v>238</v>
      </c>
      <c r="AQ8" s="222">
        <f t="shared" si="15"/>
        <v>238</v>
      </c>
      <c r="AT8" s="228">
        <f t="shared" si="16"/>
        <v>238</v>
      </c>
      <c r="AU8" s="228">
        <f t="shared" si="17"/>
        <v>64</v>
      </c>
      <c r="AV8" s="228">
        <f t="shared" si="18"/>
        <v>72</v>
      </c>
      <c r="AW8" s="228">
        <f t="shared" si="19"/>
        <v>240</v>
      </c>
    </row>
    <row r="9" spans="1:49" x14ac:dyDescent="0.25">
      <c r="A9" s="376" t="s">
        <v>330</v>
      </c>
      <c r="B9" s="227" t="s">
        <v>53</v>
      </c>
      <c r="C9" s="216" t="s">
        <v>54</v>
      </c>
      <c r="D9" s="375">
        <v>457.3</v>
      </c>
      <c r="E9" s="374">
        <f t="shared" si="7"/>
        <v>15.307238136890444</v>
      </c>
      <c r="F9" s="218">
        <v>29</v>
      </c>
      <c r="G9" s="217">
        <f t="shared" si="8"/>
        <v>44.307238136890447</v>
      </c>
      <c r="H9" s="217">
        <f>13305.76/D9</f>
        <v>29.096348130330199</v>
      </c>
      <c r="I9" s="218">
        <f t="shared" si="9"/>
        <v>126.78999999999999</v>
      </c>
      <c r="J9" s="217">
        <f t="shared" si="0"/>
        <v>155.88634813033019</v>
      </c>
      <c r="K9" s="219">
        <v>0</v>
      </c>
      <c r="L9" s="218">
        <v>64</v>
      </c>
      <c r="M9" s="219">
        <f t="shared" si="1"/>
        <v>64</v>
      </c>
      <c r="N9" s="217">
        <f t="shared" si="10"/>
        <v>15.307238136890444</v>
      </c>
      <c r="O9" s="218">
        <v>31</v>
      </c>
      <c r="P9" s="217">
        <f t="shared" si="2"/>
        <v>46.307238136890447</v>
      </c>
      <c r="Q9" s="217">
        <f>13305.76/D9</f>
        <v>29.096348130330199</v>
      </c>
      <c r="R9" s="218">
        <v>65.319999999999993</v>
      </c>
      <c r="S9" s="217">
        <f t="shared" si="3"/>
        <v>94.416348130330192</v>
      </c>
      <c r="T9" s="219">
        <v>0</v>
      </c>
      <c r="U9" s="218">
        <v>72</v>
      </c>
      <c r="V9" s="219">
        <f t="shared" si="4"/>
        <v>72</v>
      </c>
      <c r="W9" s="217">
        <f t="shared" si="11"/>
        <v>36.231884057971016</v>
      </c>
      <c r="X9" s="220">
        <v>69</v>
      </c>
      <c r="Y9" s="218">
        <v>350</v>
      </c>
      <c r="Z9" s="221">
        <f t="shared" si="12"/>
        <v>386.231884057971</v>
      </c>
      <c r="AA9" s="221">
        <f>7225/D9</f>
        <v>15.799256505576208</v>
      </c>
      <c r="AB9" s="220">
        <v>69</v>
      </c>
      <c r="AC9" s="218">
        <v>400</v>
      </c>
      <c r="AD9" s="221">
        <f t="shared" si="5"/>
        <v>415.79925650557618</v>
      </c>
      <c r="AE9" s="222">
        <v>0</v>
      </c>
      <c r="AF9" s="223">
        <v>69</v>
      </c>
      <c r="AG9" s="218">
        <v>240</v>
      </c>
      <c r="AH9" s="222">
        <f t="shared" si="6"/>
        <v>240</v>
      </c>
      <c r="AI9" s="221">
        <v>0</v>
      </c>
      <c r="AJ9" s="224">
        <v>250</v>
      </c>
      <c r="AK9" s="221">
        <f t="shared" si="13"/>
        <v>250</v>
      </c>
      <c r="AL9" s="225">
        <f>17872.41/D9</f>
        <v>39.082462278591734</v>
      </c>
      <c r="AM9" s="224">
        <v>207.05</v>
      </c>
      <c r="AN9" s="225">
        <f t="shared" si="14"/>
        <v>246.13246227859173</v>
      </c>
      <c r="AO9" s="222">
        <v>0</v>
      </c>
      <c r="AP9" s="224">
        <v>238</v>
      </c>
      <c r="AQ9" s="222">
        <f t="shared" si="15"/>
        <v>238</v>
      </c>
      <c r="AT9" s="228">
        <f t="shared" si="16"/>
        <v>238</v>
      </c>
      <c r="AU9" s="228">
        <f t="shared" si="17"/>
        <v>64</v>
      </c>
      <c r="AV9" s="228">
        <f t="shared" si="18"/>
        <v>72</v>
      </c>
      <c r="AW9" s="228">
        <f t="shared" si="19"/>
        <v>240</v>
      </c>
    </row>
    <row r="10" spans="1:49" x14ac:dyDescent="0.25">
      <c r="A10" s="376" t="s">
        <v>333</v>
      </c>
      <c r="B10" s="227" t="s">
        <v>59</v>
      </c>
      <c r="C10" s="216" t="s">
        <v>60</v>
      </c>
      <c r="D10" s="375">
        <v>412.7</v>
      </c>
      <c r="E10" s="374">
        <f t="shared" si="7"/>
        <v>16.961473225102981</v>
      </c>
      <c r="F10" s="218">
        <v>29</v>
      </c>
      <c r="G10" s="217">
        <f t="shared" si="8"/>
        <v>45.961473225102978</v>
      </c>
      <c r="H10" s="217">
        <f>13305.76/D10</f>
        <v>32.240755997092322</v>
      </c>
      <c r="I10" s="218">
        <f t="shared" si="9"/>
        <v>126.78999999999999</v>
      </c>
      <c r="J10" s="217">
        <f t="shared" si="0"/>
        <v>159.03075599709231</v>
      </c>
      <c r="K10" s="219">
        <v>0</v>
      </c>
      <c r="L10" s="218">
        <v>64</v>
      </c>
      <c r="M10" s="219">
        <f t="shared" si="1"/>
        <v>64</v>
      </c>
      <c r="N10" s="217">
        <f t="shared" si="10"/>
        <v>16.961473225102981</v>
      </c>
      <c r="O10" s="218">
        <v>31</v>
      </c>
      <c r="P10" s="217">
        <f t="shared" si="2"/>
        <v>47.961473225102978</v>
      </c>
      <c r="Q10" s="217">
        <f>13305.76/D10</f>
        <v>32.240755997092322</v>
      </c>
      <c r="R10" s="218">
        <v>65.319999999999993</v>
      </c>
      <c r="S10" s="217">
        <f t="shared" si="3"/>
        <v>97.560755997092315</v>
      </c>
      <c r="T10" s="219">
        <v>0</v>
      </c>
      <c r="U10" s="218">
        <v>72</v>
      </c>
      <c r="V10" s="219">
        <f t="shared" si="4"/>
        <v>72</v>
      </c>
      <c r="W10" s="217">
        <f t="shared" si="11"/>
        <v>40.322580645161288</v>
      </c>
      <c r="X10" s="220">
        <v>62</v>
      </c>
      <c r="Y10" s="218">
        <v>350</v>
      </c>
      <c r="Z10" s="221">
        <f t="shared" si="12"/>
        <v>390.32258064516128</v>
      </c>
      <c r="AA10" s="221">
        <f>7225/D10</f>
        <v>17.506663435909861</v>
      </c>
      <c r="AB10" s="220">
        <v>62</v>
      </c>
      <c r="AC10" s="218">
        <v>400</v>
      </c>
      <c r="AD10" s="221">
        <f t="shared" si="5"/>
        <v>417.50666343590984</v>
      </c>
      <c r="AE10" s="222">
        <v>0</v>
      </c>
      <c r="AF10" s="223">
        <v>62</v>
      </c>
      <c r="AG10" s="218">
        <v>240</v>
      </c>
      <c r="AH10" s="222">
        <f t="shared" si="6"/>
        <v>240</v>
      </c>
      <c r="AI10" s="221">
        <v>0</v>
      </c>
      <c r="AJ10" s="224">
        <v>250</v>
      </c>
      <c r="AK10" s="221">
        <f t="shared" si="13"/>
        <v>250</v>
      </c>
      <c r="AL10" s="225">
        <f>17872.41/D10</f>
        <v>43.306057669008965</v>
      </c>
      <c r="AM10" s="224">
        <v>207.05</v>
      </c>
      <c r="AN10" s="225">
        <f t="shared" si="14"/>
        <v>250.35605766900898</v>
      </c>
      <c r="AO10" s="222">
        <v>0</v>
      </c>
      <c r="AP10" s="224">
        <v>238</v>
      </c>
      <c r="AQ10" s="222">
        <f t="shared" si="15"/>
        <v>238</v>
      </c>
      <c r="AT10" s="228">
        <f t="shared" si="16"/>
        <v>238</v>
      </c>
      <c r="AU10" s="228">
        <f t="shared" si="17"/>
        <v>64</v>
      </c>
      <c r="AV10" s="228">
        <f t="shared" si="18"/>
        <v>72</v>
      </c>
      <c r="AW10" s="228">
        <f t="shared" si="19"/>
        <v>240</v>
      </c>
    </row>
    <row r="11" spans="1:49" x14ac:dyDescent="0.25">
      <c r="A11" s="376" t="s">
        <v>333</v>
      </c>
      <c r="B11" s="227" t="s">
        <v>61</v>
      </c>
      <c r="C11" s="216" t="s">
        <v>62</v>
      </c>
      <c r="D11" s="375">
        <v>405.9</v>
      </c>
      <c r="E11" s="374">
        <f t="shared" si="7"/>
        <v>17.245627001724564</v>
      </c>
      <c r="F11" s="218">
        <v>29</v>
      </c>
      <c r="G11" s="217">
        <f t="shared" si="8"/>
        <v>46.245627001724564</v>
      </c>
      <c r="H11" s="217">
        <f>13305.76/D11</f>
        <v>32.780881990638093</v>
      </c>
      <c r="I11" s="218">
        <f t="shared" si="9"/>
        <v>126.78999999999999</v>
      </c>
      <c r="J11" s="217">
        <f t="shared" si="0"/>
        <v>159.5708819906381</v>
      </c>
      <c r="K11" s="219">
        <v>0</v>
      </c>
      <c r="L11" s="218">
        <v>64</v>
      </c>
      <c r="M11" s="219">
        <f t="shared" si="1"/>
        <v>64</v>
      </c>
      <c r="N11" s="217">
        <f t="shared" si="10"/>
        <v>17.245627001724564</v>
      </c>
      <c r="O11" s="218">
        <v>31</v>
      </c>
      <c r="P11" s="217">
        <f t="shared" si="2"/>
        <v>48.245627001724564</v>
      </c>
      <c r="Q11" s="217">
        <f>13305.76/D11</f>
        <v>32.780881990638093</v>
      </c>
      <c r="R11" s="218">
        <v>65.319999999999993</v>
      </c>
      <c r="S11" s="217">
        <f t="shared" si="3"/>
        <v>98.100881990638086</v>
      </c>
      <c r="T11" s="219">
        <v>0</v>
      </c>
      <c r="U11" s="218">
        <v>72</v>
      </c>
      <c r="V11" s="219">
        <f t="shared" si="4"/>
        <v>72</v>
      </c>
      <c r="W11" s="217">
        <f t="shared" si="11"/>
        <v>40.983606557377051</v>
      </c>
      <c r="X11" s="220">
        <v>61</v>
      </c>
      <c r="Y11" s="218">
        <v>350</v>
      </c>
      <c r="Z11" s="221">
        <f t="shared" si="12"/>
        <v>390.98360655737707</v>
      </c>
      <c r="AA11" s="221">
        <f>7225/D11</f>
        <v>17.799950726779997</v>
      </c>
      <c r="AB11" s="220">
        <v>61</v>
      </c>
      <c r="AC11" s="218">
        <v>400</v>
      </c>
      <c r="AD11" s="221">
        <f t="shared" si="5"/>
        <v>417.79995072678003</v>
      </c>
      <c r="AE11" s="222">
        <v>0</v>
      </c>
      <c r="AF11" s="223">
        <v>61</v>
      </c>
      <c r="AG11" s="218">
        <v>240</v>
      </c>
      <c r="AH11" s="222">
        <f t="shared" si="6"/>
        <v>240</v>
      </c>
      <c r="AI11" s="221">
        <v>0</v>
      </c>
      <c r="AJ11" s="224">
        <v>250</v>
      </c>
      <c r="AK11" s="221">
        <f t="shared" si="13"/>
        <v>250</v>
      </c>
      <c r="AL11" s="225">
        <f>17872.41/D11</f>
        <v>44.031559497413156</v>
      </c>
      <c r="AM11" s="224">
        <v>207.05</v>
      </c>
      <c r="AN11" s="225">
        <f t="shared" si="14"/>
        <v>251.08155949741317</v>
      </c>
      <c r="AO11" s="222">
        <v>0</v>
      </c>
      <c r="AP11" s="224">
        <v>238</v>
      </c>
      <c r="AQ11" s="222">
        <f t="shared" si="15"/>
        <v>238</v>
      </c>
      <c r="AT11" s="228">
        <f t="shared" si="16"/>
        <v>238</v>
      </c>
      <c r="AU11" s="228">
        <f t="shared" si="17"/>
        <v>64</v>
      </c>
      <c r="AV11" s="228">
        <f t="shared" si="18"/>
        <v>72</v>
      </c>
      <c r="AW11" s="228">
        <f t="shared" si="19"/>
        <v>240</v>
      </c>
    </row>
    <row r="12" spans="1:49" x14ac:dyDescent="0.25">
      <c r="A12" s="376" t="s">
        <v>333</v>
      </c>
      <c r="B12" s="227" t="s">
        <v>89</v>
      </c>
      <c r="C12" s="216" t="s">
        <v>82</v>
      </c>
      <c r="D12" s="375">
        <v>401.6</v>
      </c>
      <c r="E12" s="374">
        <f t="shared" si="7"/>
        <v>17.430278884462151</v>
      </c>
      <c r="F12" s="218">
        <v>29</v>
      </c>
      <c r="G12" s="217">
        <f t="shared" si="8"/>
        <v>46.430278884462155</v>
      </c>
      <c r="H12" s="217">
        <f>13305.76/D12</f>
        <v>33.131872509960161</v>
      </c>
      <c r="I12" s="218">
        <f t="shared" si="9"/>
        <v>126.78999999999999</v>
      </c>
      <c r="J12" s="217">
        <f t="shared" si="0"/>
        <v>159.92187250996017</v>
      </c>
      <c r="K12" s="219">
        <v>0</v>
      </c>
      <c r="L12" s="218">
        <v>64</v>
      </c>
      <c r="M12" s="219">
        <f t="shared" si="1"/>
        <v>64</v>
      </c>
      <c r="N12" s="217">
        <f t="shared" si="10"/>
        <v>17.430278884462151</v>
      </c>
      <c r="O12" s="218">
        <v>31</v>
      </c>
      <c r="P12" s="217">
        <f t="shared" si="2"/>
        <v>48.430278884462155</v>
      </c>
      <c r="Q12" s="217">
        <f>13305.76/D12</f>
        <v>33.131872509960161</v>
      </c>
      <c r="R12" s="218">
        <v>65.319999999999993</v>
      </c>
      <c r="S12" s="217">
        <f t="shared" si="3"/>
        <v>98.451872509960154</v>
      </c>
      <c r="T12" s="219">
        <v>0</v>
      </c>
      <c r="U12" s="218">
        <v>72</v>
      </c>
      <c r="V12" s="219">
        <f t="shared" si="4"/>
        <v>72</v>
      </c>
      <c r="W12" s="217">
        <f t="shared" si="11"/>
        <v>40.983606557377051</v>
      </c>
      <c r="X12" s="220">
        <v>61</v>
      </c>
      <c r="Y12" s="218">
        <v>350</v>
      </c>
      <c r="Z12" s="221">
        <f t="shared" si="12"/>
        <v>390.98360655737707</v>
      </c>
      <c r="AA12" s="221">
        <f>7225/D12</f>
        <v>17.990537848605577</v>
      </c>
      <c r="AB12" s="220">
        <v>61</v>
      </c>
      <c r="AC12" s="218">
        <v>400</v>
      </c>
      <c r="AD12" s="221">
        <f t="shared" si="5"/>
        <v>417.99053784860558</v>
      </c>
      <c r="AE12" s="222">
        <v>0</v>
      </c>
      <c r="AF12" s="223">
        <v>61</v>
      </c>
      <c r="AG12" s="218">
        <v>240</v>
      </c>
      <c r="AH12" s="222">
        <f t="shared" si="6"/>
        <v>240</v>
      </c>
      <c r="AI12" s="221">
        <v>0</v>
      </c>
      <c r="AJ12" s="224">
        <v>250</v>
      </c>
      <c r="AK12" s="221">
        <f t="shared" si="13"/>
        <v>250</v>
      </c>
      <c r="AL12" s="225">
        <f>17872.41/D12</f>
        <v>44.503012948207171</v>
      </c>
      <c r="AM12" s="224">
        <v>207.05</v>
      </c>
      <c r="AN12" s="225">
        <f t="shared" si="14"/>
        <v>251.5530129482072</v>
      </c>
      <c r="AO12" s="222">
        <v>0</v>
      </c>
      <c r="AP12" s="224">
        <v>238</v>
      </c>
      <c r="AQ12" s="222">
        <f t="shared" si="15"/>
        <v>238</v>
      </c>
      <c r="AT12" s="228">
        <f t="shared" si="16"/>
        <v>238</v>
      </c>
      <c r="AU12" s="228">
        <f t="shared" si="17"/>
        <v>64</v>
      </c>
      <c r="AV12" s="228">
        <f t="shared" si="18"/>
        <v>72</v>
      </c>
      <c r="AW12" s="228">
        <f t="shared" si="19"/>
        <v>240</v>
      </c>
    </row>
    <row r="13" spans="1:49" x14ac:dyDescent="0.25">
      <c r="A13" s="376" t="s">
        <v>333</v>
      </c>
      <c r="B13" s="227" t="s">
        <v>91</v>
      </c>
      <c r="C13" s="216" t="s">
        <v>84</v>
      </c>
      <c r="D13" s="375">
        <v>562.1</v>
      </c>
      <c r="E13" s="374">
        <f t="shared" si="7"/>
        <v>12.453300124533001</v>
      </c>
      <c r="F13" s="218">
        <v>29</v>
      </c>
      <c r="G13" s="217">
        <f t="shared" si="8"/>
        <v>41.453300124533001</v>
      </c>
      <c r="H13" s="217">
        <f t="shared" ref="H13:H20" si="20">6652.88/D13</f>
        <v>11.835758761786158</v>
      </c>
      <c r="I13" s="218">
        <f t="shared" si="9"/>
        <v>126.78999999999999</v>
      </c>
      <c r="J13" s="217">
        <f t="shared" si="0"/>
        <v>138.62575876178616</v>
      </c>
      <c r="K13" s="219">
        <v>0</v>
      </c>
      <c r="L13" s="218">
        <v>64</v>
      </c>
      <c r="M13" s="219">
        <f t="shared" si="1"/>
        <v>64</v>
      </c>
      <c r="N13" s="217">
        <f t="shared" si="10"/>
        <v>12.453300124533001</v>
      </c>
      <c r="O13" s="218">
        <v>31</v>
      </c>
      <c r="P13" s="217">
        <f t="shared" si="2"/>
        <v>43.453300124533001</v>
      </c>
      <c r="Q13" s="217">
        <f>6652.88/D13</f>
        <v>11.835758761786158</v>
      </c>
      <c r="R13" s="218">
        <v>65.319999999999993</v>
      </c>
      <c r="S13" s="217">
        <f t="shared" si="3"/>
        <v>77.155758761786146</v>
      </c>
      <c r="T13" s="219">
        <v>0</v>
      </c>
      <c r="U13" s="218">
        <v>72</v>
      </c>
      <c r="V13" s="219">
        <f t="shared" si="4"/>
        <v>72</v>
      </c>
      <c r="W13" s="217">
        <f t="shared" si="11"/>
        <v>29.411764705882351</v>
      </c>
      <c r="X13" s="220">
        <v>85</v>
      </c>
      <c r="Y13" s="218">
        <v>350</v>
      </c>
      <c r="Z13" s="221">
        <f t="shared" si="12"/>
        <v>379.41176470588238</v>
      </c>
      <c r="AA13" s="221">
        <f>3612.5/D13</f>
        <v>6.426792385696495</v>
      </c>
      <c r="AB13" s="220">
        <v>85</v>
      </c>
      <c r="AC13" s="218">
        <v>400</v>
      </c>
      <c r="AD13" s="221">
        <f t="shared" si="5"/>
        <v>406.4267923856965</v>
      </c>
      <c r="AE13" s="222">
        <v>0</v>
      </c>
      <c r="AF13" s="223">
        <v>85</v>
      </c>
      <c r="AG13" s="218">
        <v>240</v>
      </c>
      <c r="AH13" s="222">
        <f t="shared" si="6"/>
        <v>240</v>
      </c>
      <c r="AI13" s="221">
        <v>0</v>
      </c>
      <c r="AJ13" s="224">
        <v>250</v>
      </c>
      <c r="AK13" s="221">
        <f t="shared" si="13"/>
        <v>250</v>
      </c>
      <c r="AL13" s="225">
        <f>8936.2/D13</f>
        <v>15.89788293897883</v>
      </c>
      <c r="AM13" s="224">
        <v>207.05</v>
      </c>
      <c r="AN13" s="225">
        <f t="shared" si="14"/>
        <v>222.94788293897884</v>
      </c>
      <c r="AO13" s="222">
        <v>0</v>
      </c>
      <c r="AP13" s="224">
        <v>238</v>
      </c>
      <c r="AQ13" s="222">
        <f t="shared" si="15"/>
        <v>238</v>
      </c>
      <c r="AT13" s="228">
        <f t="shared" si="16"/>
        <v>238</v>
      </c>
      <c r="AU13" s="228">
        <f t="shared" si="17"/>
        <v>64</v>
      </c>
      <c r="AV13" s="228">
        <f t="shared" si="18"/>
        <v>72</v>
      </c>
      <c r="AW13" s="228">
        <f t="shared" si="19"/>
        <v>240</v>
      </c>
    </row>
    <row r="14" spans="1:49" x14ac:dyDescent="0.25">
      <c r="A14" s="376" t="s">
        <v>333</v>
      </c>
      <c r="B14" s="227" t="s">
        <v>334</v>
      </c>
      <c r="C14" s="216" t="s">
        <v>45</v>
      </c>
      <c r="D14" s="375">
        <v>320.10000000000002</v>
      </c>
      <c r="E14" s="374">
        <f t="shared" si="7"/>
        <v>21.868166198063104</v>
      </c>
      <c r="F14" s="218">
        <v>29</v>
      </c>
      <c r="G14" s="217">
        <f t="shared" si="8"/>
        <v>50.868166198063108</v>
      </c>
      <c r="H14" s="217">
        <f t="shared" si="20"/>
        <v>20.783755076538579</v>
      </c>
      <c r="I14" s="218">
        <f t="shared" si="9"/>
        <v>126.78999999999999</v>
      </c>
      <c r="J14" s="217">
        <f t="shared" si="0"/>
        <v>147.57375507653856</v>
      </c>
      <c r="K14" s="219">
        <v>0</v>
      </c>
      <c r="L14" s="218">
        <v>64</v>
      </c>
      <c r="M14" s="219">
        <f t="shared" si="1"/>
        <v>64</v>
      </c>
      <c r="N14" s="217">
        <f t="shared" si="10"/>
        <v>21.868166198063104</v>
      </c>
      <c r="O14" s="218">
        <v>31</v>
      </c>
      <c r="P14" s="217">
        <f t="shared" si="2"/>
        <v>52.868166198063108</v>
      </c>
      <c r="Q14" s="217">
        <f>6652.88/D14</f>
        <v>20.783755076538579</v>
      </c>
      <c r="R14" s="218">
        <v>65.319999999999993</v>
      </c>
      <c r="S14" s="217">
        <f t="shared" si="3"/>
        <v>86.103755076538576</v>
      </c>
      <c r="T14" s="219">
        <v>0</v>
      </c>
      <c r="U14" s="218">
        <v>72</v>
      </c>
      <c r="V14" s="219">
        <f t="shared" si="4"/>
        <v>72</v>
      </c>
      <c r="W14" s="217">
        <f t="shared" si="11"/>
        <v>51.020408163265309</v>
      </c>
      <c r="X14" s="220">
        <v>49</v>
      </c>
      <c r="Y14" s="218">
        <v>350</v>
      </c>
      <c r="Z14" s="221">
        <f t="shared" si="12"/>
        <v>401.0204081632653</v>
      </c>
      <c r="AA14" s="221">
        <f>3612.5/D14</f>
        <v>11.285535770071851</v>
      </c>
      <c r="AB14" s="220">
        <v>49</v>
      </c>
      <c r="AC14" s="218">
        <v>400</v>
      </c>
      <c r="AD14" s="221">
        <f t="shared" si="5"/>
        <v>411.28553577007187</v>
      </c>
      <c r="AE14" s="222">
        <v>0</v>
      </c>
      <c r="AF14" s="223">
        <v>49</v>
      </c>
      <c r="AG14" s="218">
        <v>240</v>
      </c>
      <c r="AH14" s="222">
        <f t="shared" si="6"/>
        <v>240</v>
      </c>
      <c r="AI14" s="221">
        <v>0</v>
      </c>
      <c r="AJ14" s="224">
        <v>250</v>
      </c>
      <c r="AK14" s="221">
        <f t="shared" si="13"/>
        <v>250</v>
      </c>
      <c r="AL14" s="225">
        <f>8936.2/D14</f>
        <v>27.916900968447361</v>
      </c>
      <c r="AM14" s="224">
        <v>207.05</v>
      </c>
      <c r="AN14" s="225">
        <f t="shared" si="14"/>
        <v>234.96690096844736</v>
      </c>
      <c r="AO14" s="222">
        <v>0</v>
      </c>
      <c r="AP14" s="224">
        <v>238</v>
      </c>
      <c r="AQ14" s="222">
        <f t="shared" si="15"/>
        <v>238</v>
      </c>
      <c r="AT14" s="228">
        <f t="shared" si="16"/>
        <v>238</v>
      </c>
      <c r="AU14" s="228">
        <f t="shared" si="17"/>
        <v>64</v>
      </c>
      <c r="AV14" s="228">
        <f t="shared" si="18"/>
        <v>72</v>
      </c>
      <c r="AW14" s="228">
        <f t="shared" si="19"/>
        <v>240</v>
      </c>
    </row>
    <row r="15" spans="1:49" x14ac:dyDescent="0.25">
      <c r="A15" s="376" t="s">
        <v>333</v>
      </c>
      <c r="B15" s="227" t="s">
        <v>335</v>
      </c>
      <c r="C15" s="216" t="s">
        <v>40</v>
      </c>
      <c r="D15" s="375">
        <v>321.60000000000002</v>
      </c>
      <c r="E15" s="374">
        <f t="shared" si="7"/>
        <v>21.766169154228855</v>
      </c>
      <c r="F15" s="218">
        <v>29</v>
      </c>
      <c r="G15" s="217">
        <f t="shared" si="8"/>
        <v>50.766169154228855</v>
      </c>
      <c r="H15" s="217">
        <f t="shared" si="20"/>
        <v>20.686815920398008</v>
      </c>
      <c r="I15" s="218">
        <f t="shared" si="9"/>
        <v>126.78999999999999</v>
      </c>
      <c r="J15" s="217">
        <f t="shared" si="0"/>
        <v>147.476815920398</v>
      </c>
      <c r="K15" s="219">
        <v>0</v>
      </c>
      <c r="L15" s="218">
        <v>64</v>
      </c>
      <c r="M15" s="219">
        <f t="shared" si="1"/>
        <v>64</v>
      </c>
      <c r="N15" s="217">
        <f t="shared" si="10"/>
        <v>21.766169154228855</v>
      </c>
      <c r="O15" s="218">
        <v>31</v>
      </c>
      <c r="P15" s="217">
        <f t="shared" si="2"/>
        <v>52.766169154228855</v>
      </c>
      <c r="Q15" s="217">
        <f>6652.88/D15</f>
        <v>20.686815920398008</v>
      </c>
      <c r="R15" s="218">
        <v>65.319999999999993</v>
      </c>
      <c r="S15" s="217">
        <f t="shared" si="3"/>
        <v>86.006815920397997</v>
      </c>
      <c r="T15" s="219">
        <v>0</v>
      </c>
      <c r="U15" s="218">
        <v>72</v>
      </c>
      <c r="V15" s="219">
        <f t="shared" si="4"/>
        <v>72</v>
      </c>
      <c r="W15" s="217">
        <f t="shared" si="11"/>
        <v>51.020408163265309</v>
      </c>
      <c r="X15" s="220">
        <v>49</v>
      </c>
      <c r="Y15" s="218">
        <v>350</v>
      </c>
      <c r="Z15" s="221">
        <f t="shared" si="12"/>
        <v>401.0204081632653</v>
      </c>
      <c r="AA15" s="221">
        <f>3612.5/D15</f>
        <v>11.232898009950247</v>
      </c>
      <c r="AB15" s="220">
        <v>49</v>
      </c>
      <c r="AC15" s="218">
        <v>400</v>
      </c>
      <c r="AD15" s="221">
        <f t="shared" si="5"/>
        <v>411.23289800995025</v>
      </c>
      <c r="AE15" s="222">
        <v>0</v>
      </c>
      <c r="AF15" s="223">
        <v>49</v>
      </c>
      <c r="AG15" s="218">
        <v>240</v>
      </c>
      <c r="AH15" s="222">
        <f t="shared" si="6"/>
        <v>240</v>
      </c>
      <c r="AI15" s="221">
        <v>0</v>
      </c>
      <c r="AJ15" s="224">
        <v>250</v>
      </c>
      <c r="AK15" s="221">
        <f t="shared" si="13"/>
        <v>250</v>
      </c>
      <c r="AL15" s="225">
        <f>8936.2/D15</f>
        <v>27.786691542288558</v>
      </c>
      <c r="AM15" s="224">
        <v>207.05</v>
      </c>
      <c r="AN15" s="225">
        <f t="shared" si="14"/>
        <v>234.83669154228858</v>
      </c>
      <c r="AO15" s="222">
        <v>0</v>
      </c>
      <c r="AP15" s="224">
        <v>238</v>
      </c>
      <c r="AQ15" s="222">
        <f t="shared" si="15"/>
        <v>238</v>
      </c>
      <c r="AT15" s="228">
        <f t="shared" si="16"/>
        <v>238</v>
      </c>
      <c r="AU15" s="228">
        <f t="shared" si="17"/>
        <v>64</v>
      </c>
      <c r="AV15" s="228">
        <f t="shared" si="18"/>
        <v>72</v>
      </c>
      <c r="AW15" s="228">
        <f t="shared" si="19"/>
        <v>240</v>
      </c>
    </row>
    <row r="16" spans="1:49" x14ac:dyDescent="0.25">
      <c r="A16" s="376" t="s">
        <v>333</v>
      </c>
      <c r="B16" s="227" t="s">
        <v>336</v>
      </c>
      <c r="C16" s="216" t="s">
        <v>337</v>
      </c>
      <c r="D16" s="375">
        <v>200.4</v>
      </c>
      <c r="E16" s="374">
        <f t="shared" si="7"/>
        <v>34.930139720558884</v>
      </c>
      <c r="F16" s="218">
        <v>29</v>
      </c>
      <c r="G16" s="217">
        <f t="shared" si="8"/>
        <v>63.930139720558884</v>
      </c>
      <c r="H16" s="217">
        <f t="shared" si="20"/>
        <v>33.19800399201597</v>
      </c>
      <c r="I16" s="218">
        <f t="shared" si="9"/>
        <v>126.78999999999999</v>
      </c>
      <c r="J16" s="217">
        <f t="shared" si="0"/>
        <v>159.98800399201596</v>
      </c>
      <c r="K16" s="219">
        <v>0</v>
      </c>
      <c r="L16" s="218">
        <v>64</v>
      </c>
      <c r="M16" s="219">
        <f t="shared" si="1"/>
        <v>64</v>
      </c>
      <c r="N16" s="217">
        <f t="shared" si="10"/>
        <v>34.930139720558884</v>
      </c>
      <c r="O16" s="218">
        <v>31</v>
      </c>
      <c r="P16" s="217">
        <f t="shared" si="2"/>
        <v>65.930139720558884</v>
      </c>
      <c r="Q16" s="217">
        <f>6652.88/D16</f>
        <v>33.19800399201597</v>
      </c>
      <c r="R16" s="218">
        <v>65.319999999999993</v>
      </c>
      <c r="S16" s="217">
        <f t="shared" si="3"/>
        <v>98.518003992015963</v>
      </c>
      <c r="T16" s="219">
        <v>0</v>
      </c>
      <c r="U16" s="218">
        <v>72</v>
      </c>
      <c r="V16" s="219">
        <f t="shared" si="4"/>
        <v>72</v>
      </c>
      <c r="W16" s="217">
        <f t="shared" si="11"/>
        <v>80.645161290322577</v>
      </c>
      <c r="X16" s="220">
        <v>31</v>
      </c>
      <c r="Y16" s="218">
        <v>350</v>
      </c>
      <c r="Z16" s="221">
        <f t="shared" si="12"/>
        <v>430.64516129032256</v>
      </c>
      <c r="AA16" s="221">
        <f>3612.5/D16</f>
        <v>18.026447105788424</v>
      </c>
      <c r="AB16" s="220">
        <v>31</v>
      </c>
      <c r="AC16" s="218">
        <v>400</v>
      </c>
      <c r="AD16" s="221">
        <f t="shared" si="5"/>
        <v>418.02644710578841</v>
      </c>
      <c r="AE16" s="222">
        <v>0</v>
      </c>
      <c r="AF16" s="223">
        <v>31</v>
      </c>
      <c r="AG16" s="218">
        <v>240</v>
      </c>
      <c r="AH16" s="222">
        <f t="shared" si="6"/>
        <v>240</v>
      </c>
      <c r="AI16" s="221">
        <v>0</v>
      </c>
      <c r="AJ16" s="224">
        <v>250</v>
      </c>
      <c r="AK16" s="221">
        <f t="shared" si="13"/>
        <v>250</v>
      </c>
      <c r="AL16" s="225">
        <f>8936.2/D16</f>
        <v>44.591816367265473</v>
      </c>
      <c r="AM16" s="224">
        <v>207.05</v>
      </c>
      <c r="AN16" s="225">
        <f t="shared" si="14"/>
        <v>251.64181636726548</v>
      </c>
      <c r="AO16" s="222">
        <v>0</v>
      </c>
      <c r="AP16" s="224">
        <v>238</v>
      </c>
      <c r="AQ16" s="222">
        <f t="shared" si="15"/>
        <v>238</v>
      </c>
      <c r="AT16" s="228">
        <f t="shared" si="16"/>
        <v>238</v>
      </c>
      <c r="AU16" s="228">
        <f t="shared" si="17"/>
        <v>64</v>
      </c>
      <c r="AV16" s="228">
        <f t="shared" si="18"/>
        <v>72</v>
      </c>
      <c r="AW16" s="228">
        <f t="shared" si="19"/>
        <v>240</v>
      </c>
    </row>
    <row r="17" spans="1:49" x14ac:dyDescent="0.25">
      <c r="A17" s="376" t="s">
        <v>333</v>
      </c>
      <c r="B17" s="227" t="s">
        <v>64</v>
      </c>
      <c r="C17" s="216" t="s">
        <v>338</v>
      </c>
      <c r="D17" s="375">
        <f>554.1+113.2+9.3+4</f>
        <v>680.6</v>
      </c>
      <c r="E17" s="374">
        <f t="shared" si="7"/>
        <v>10.28504260946224</v>
      </c>
      <c r="F17" s="218">
        <v>29</v>
      </c>
      <c r="G17" s="217">
        <f t="shared" si="8"/>
        <v>39.285042609462238</v>
      </c>
      <c r="H17" s="217">
        <f>13305.76/D17</f>
        <v>19.550044078754041</v>
      </c>
      <c r="I17" s="218">
        <f t="shared" si="9"/>
        <v>126.78999999999999</v>
      </c>
      <c r="J17" s="217">
        <f t="shared" si="0"/>
        <v>146.34004407875403</v>
      </c>
      <c r="K17" s="219">
        <v>0</v>
      </c>
      <c r="L17" s="218">
        <v>64</v>
      </c>
      <c r="M17" s="219">
        <f t="shared" si="1"/>
        <v>64</v>
      </c>
      <c r="N17" s="217">
        <f t="shared" si="10"/>
        <v>10.28504260946224</v>
      </c>
      <c r="O17" s="218">
        <v>31</v>
      </c>
      <c r="P17" s="217">
        <f t="shared" si="2"/>
        <v>41.285042609462238</v>
      </c>
      <c r="Q17" s="217">
        <f>13305.76/D17</f>
        <v>19.550044078754041</v>
      </c>
      <c r="R17" s="218">
        <v>65.319999999999993</v>
      </c>
      <c r="S17" s="217">
        <f t="shared" si="3"/>
        <v>84.870044078754034</v>
      </c>
      <c r="T17" s="219">
        <v>0</v>
      </c>
      <c r="U17" s="218">
        <v>72</v>
      </c>
      <c r="V17" s="219">
        <f t="shared" si="4"/>
        <v>72</v>
      </c>
      <c r="W17" s="217">
        <f t="shared" si="11"/>
        <v>24.271844660194176</v>
      </c>
      <c r="X17" s="220">
        <v>103</v>
      </c>
      <c r="Y17" s="218">
        <v>350</v>
      </c>
      <c r="Z17" s="221">
        <f t="shared" si="12"/>
        <v>374.27184466019418</v>
      </c>
      <c r="AA17" s="221">
        <f>7225/D17</f>
        <v>10.615633264766382</v>
      </c>
      <c r="AB17" s="220">
        <v>103</v>
      </c>
      <c r="AC17" s="218">
        <v>400</v>
      </c>
      <c r="AD17" s="221">
        <f t="shared" si="5"/>
        <v>410.61563326476636</v>
      </c>
      <c r="AE17" s="222">
        <v>0</v>
      </c>
      <c r="AF17" s="223">
        <v>103</v>
      </c>
      <c r="AG17" s="218">
        <v>240</v>
      </c>
      <c r="AH17" s="222">
        <f t="shared" si="6"/>
        <v>240</v>
      </c>
      <c r="AI17" s="221">
        <v>0</v>
      </c>
      <c r="AJ17" s="224">
        <v>250</v>
      </c>
      <c r="AK17" s="221">
        <f t="shared" si="13"/>
        <v>250</v>
      </c>
      <c r="AL17" s="225">
        <f>17872.41/D17</f>
        <v>26.259785483397003</v>
      </c>
      <c r="AM17" s="224">
        <v>207.05</v>
      </c>
      <c r="AN17" s="225">
        <f t="shared" si="14"/>
        <v>233.30978548339701</v>
      </c>
      <c r="AO17" s="222">
        <v>0</v>
      </c>
      <c r="AP17" s="224">
        <v>238</v>
      </c>
      <c r="AQ17" s="222">
        <f t="shared" si="15"/>
        <v>238</v>
      </c>
      <c r="AT17" s="228">
        <f t="shared" si="16"/>
        <v>238</v>
      </c>
      <c r="AU17" s="228">
        <f t="shared" si="17"/>
        <v>64</v>
      </c>
      <c r="AV17" s="228">
        <f t="shared" si="18"/>
        <v>72</v>
      </c>
      <c r="AW17" s="228">
        <f t="shared" si="19"/>
        <v>240</v>
      </c>
    </row>
    <row r="18" spans="1:49" x14ac:dyDescent="0.25">
      <c r="A18" s="376" t="s">
        <v>339</v>
      </c>
      <c r="B18" s="227" t="s">
        <v>340</v>
      </c>
      <c r="C18" s="216" t="s">
        <v>341</v>
      </c>
      <c r="D18" s="375">
        <v>475.9</v>
      </c>
      <c r="E18" s="374">
        <f t="shared" si="7"/>
        <v>14.708972473208657</v>
      </c>
      <c r="F18" s="218">
        <v>29</v>
      </c>
      <c r="G18" s="217">
        <f t="shared" si="8"/>
        <v>43.708972473208661</v>
      </c>
      <c r="H18" s="217">
        <f t="shared" si="20"/>
        <v>13.97957554108006</v>
      </c>
      <c r="I18" s="218">
        <f t="shared" si="9"/>
        <v>126.78999999999999</v>
      </c>
      <c r="J18" s="217">
        <f t="shared" si="0"/>
        <v>140.76957554108006</v>
      </c>
      <c r="K18" s="219">
        <v>0</v>
      </c>
      <c r="L18" s="218">
        <v>64</v>
      </c>
      <c r="M18" s="219">
        <f t="shared" si="1"/>
        <v>64</v>
      </c>
      <c r="N18" s="217">
        <f t="shared" si="10"/>
        <v>14.708972473208657</v>
      </c>
      <c r="O18" s="218">
        <v>31</v>
      </c>
      <c r="P18" s="217">
        <f t="shared" si="2"/>
        <v>45.708972473208661</v>
      </c>
      <c r="Q18" s="217">
        <f>6652.88/D18</f>
        <v>13.97957554108006</v>
      </c>
      <c r="R18" s="218">
        <v>65.319999999999993</v>
      </c>
      <c r="S18" s="217">
        <f t="shared" si="3"/>
        <v>79.29957554108006</v>
      </c>
      <c r="T18" s="219">
        <v>0</v>
      </c>
      <c r="U18" s="218">
        <v>72</v>
      </c>
      <c r="V18" s="219">
        <f t="shared" si="4"/>
        <v>72</v>
      </c>
      <c r="W18" s="217">
        <f t="shared" si="11"/>
        <v>34.722222222222221</v>
      </c>
      <c r="X18" s="220">
        <v>72</v>
      </c>
      <c r="Y18" s="218">
        <v>350</v>
      </c>
      <c r="Z18" s="221">
        <f t="shared" si="12"/>
        <v>384.72222222222223</v>
      </c>
      <c r="AA18" s="221">
        <f>3612.5/D18</f>
        <v>7.5908804370666108</v>
      </c>
      <c r="AB18" s="220">
        <v>72</v>
      </c>
      <c r="AC18" s="218">
        <v>400</v>
      </c>
      <c r="AD18" s="221">
        <f t="shared" si="5"/>
        <v>407.59088043706663</v>
      </c>
      <c r="AE18" s="222">
        <v>0</v>
      </c>
      <c r="AF18" s="223">
        <v>72</v>
      </c>
      <c r="AG18" s="218">
        <v>240</v>
      </c>
      <c r="AH18" s="222">
        <f t="shared" si="6"/>
        <v>240</v>
      </c>
      <c r="AI18" s="221">
        <v>0</v>
      </c>
      <c r="AJ18" s="224">
        <v>250</v>
      </c>
      <c r="AK18" s="221">
        <f t="shared" si="13"/>
        <v>250</v>
      </c>
      <c r="AL18" s="225">
        <f>8936.2/D18</f>
        <v>18.777474259298174</v>
      </c>
      <c r="AM18" s="224">
        <v>207.05</v>
      </c>
      <c r="AN18" s="225">
        <f t="shared" si="14"/>
        <v>225.82747425929819</v>
      </c>
      <c r="AO18" s="222">
        <v>0</v>
      </c>
      <c r="AP18" s="224">
        <v>238</v>
      </c>
      <c r="AQ18" s="222">
        <f t="shared" si="15"/>
        <v>238</v>
      </c>
      <c r="AT18" s="228">
        <f t="shared" si="16"/>
        <v>238</v>
      </c>
      <c r="AU18" s="228">
        <f t="shared" si="17"/>
        <v>64</v>
      </c>
      <c r="AV18" s="228">
        <f t="shared" si="18"/>
        <v>72</v>
      </c>
      <c r="AW18" s="228">
        <f t="shared" si="19"/>
        <v>240</v>
      </c>
    </row>
    <row r="19" spans="1:49" x14ac:dyDescent="0.25">
      <c r="A19" s="376" t="s">
        <v>339</v>
      </c>
      <c r="B19" s="227" t="s">
        <v>94</v>
      </c>
      <c r="C19" s="216" t="s">
        <v>87</v>
      </c>
      <c r="D19" s="375">
        <v>436.6</v>
      </c>
      <c r="E19" s="374">
        <f t="shared" si="7"/>
        <v>16.032982134677049</v>
      </c>
      <c r="F19" s="218">
        <v>29</v>
      </c>
      <c r="G19" s="217">
        <f t="shared" si="8"/>
        <v>45.032982134677049</v>
      </c>
      <c r="H19" s="217">
        <f t="shared" si="20"/>
        <v>15.237929454878607</v>
      </c>
      <c r="I19" s="218">
        <f t="shared" si="9"/>
        <v>126.78999999999999</v>
      </c>
      <c r="J19" s="217">
        <f t="shared" si="0"/>
        <v>142.0279294548786</v>
      </c>
      <c r="K19" s="219">
        <v>0</v>
      </c>
      <c r="L19" s="218">
        <v>64</v>
      </c>
      <c r="M19" s="219">
        <f t="shared" si="1"/>
        <v>64</v>
      </c>
      <c r="N19" s="217">
        <f t="shared" si="10"/>
        <v>16.032982134677049</v>
      </c>
      <c r="O19" s="218">
        <v>31</v>
      </c>
      <c r="P19" s="217">
        <f t="shared" si="2"/>
        <v>47.032982134677049</v>
      </c>
      <c r="Q19" s="217">
        <f>6652.88/D19</f>
        <v>15.237929454878607</v>
      </c>
      <c r="R19" s="218">
        <v>65.319999999999993</v>
      </c>
      <c r="S19" s="217">
        <f t="shared" si="3"/>
        <v>80.557929454878604</v>
      </c>
      <c r="T19" s="219">
        <v>0</v>
      </c>
      <c r="U19" s="218">
        <v>72</v>
      </c>
      <c r="V19" s="219">
        <f t="shared" si="4"/>
        <v>72</v>
      </c>
      <c r="W19" s="217">
        <f t="shared" si="11"/>
        <v>37.878787878787875</v>
      </c>
      <c r="X19" s="220">
        <v>66</v>
      </c>
      <c r="Y19" s="218">
        <v>350</v>
      </c>
      <c r="Z19" s="221">
        <f t="shared" si="12"/>
        <v>387.87878787878788</v>
      </c>
      <c r="AA19" s="221">
        <f>3612.5/D19</f>
        <v>8.2741639945029775</v>
      </c>
      <c r="AB19" s="220">
        <v>66</v>
      </c>
      <c r="AC19" s="218">
        <v>400</v>
      </c>
      <c r="AD19" s="221">
        <f t="shared" si="5"/>
        <v>408.274163994503</v>
      </c>
      <c r="AE19" s="222">
        <v>0</v>
      </c>
      <c r="AF19" s="223">
        <v>66</v>
      </c>
      <c r="AG19" s="218">
        <v>240</v>
      </c>
      <c r="AH19" s="222">
        <f t="shared" si="6"/>
        <v>240</v>
      </c>
      <c r="AI19" s="221">
        <v>0</v>
      </c>
      <c r="AJ19" s="224">
        <v>250</v>
      </c>
      <c r="AK19" s="221">
        <f t="shared" si="13"/>
        <v>250</v>
      </c>
      <c r="AL19" s="225">
        <f>8936.2/D19</f>
        <v>20.467704993128724</v>
      </c>
      <c r="AM19" s="224">
        <v>207.05</v>
      </c>
      <c r="AN19" s="225">
        <f t="shared" si="14"/>
        <v>227.51770499312875</v>
      </c>
      <c r="AO19" s="222">
        <v>0</v>
      </c>
      <c r="AP19" s="224">
        <v>238</v>
      </c>
      <c r="AQ19" s="222">
        <f t="shared" si="15"/>
        <v>238</v>
      </c>
      <c r="AT19" s="228">
        <f t="shared" si="16"/>
        <v>238</v>
      </c>
      <c r="AU19" s="228">
        <f t="shared" si="17"/>
        <v>64</v>
      </c>
      <c r="AV19" s="228">
        <f t="shared" si="18"/>
        <v>72</v>
      </c>
      <c r="AW19" s="228">
        <f t="shared" si="19"/>
        <v>240</v>
      </c>
    </row>
    <row r="20" spans="1:49" x14ac:dyDescent="0.25">
      <c r="A20" s="377" t="s">
        <v>339</v>
      </c>
      <c r="B20" s="227" t="s">
        <v>92</v>
      </c>
      <c r="C20" s="216" t="s">
        <v>85</v>
      </c>
      <c r="D20" s="375">
        <v>1176.5</v>
      </c>
      <c r="E20" s="374">
        <f t="shared" si="7"/>
        <v>5.9498512537186574</v>
      </c>
      <c r="F20" s="218">
        <v>29</v>
      </c>
      <c r="G20" s="217">
        <f t="shared" si="8"/>
        <v>34.949851253718656</v>
      </c>
      <c r="H20" s="217">
        <f t="shared" si="20"/>
        <v>5.6548066298342539</v>
      </c>
      <c r="I20" s="218">
        <f t="shared" si="9"/>
        <v>126.78999999999999</v>
      </c>
      <c r="J20" s="217">
        <f t="shared" si="0"/>
        <v>132.44480662983423</v>
      </c>
      <c r="K20" s="219">
        <v>0</v>
      </c>
      <c r="L20" s="218">
        <v>64</v>
      </c>
      <c r="M20" s="219">
        <f t="shared" si="1"/>
        <v>64</v>
      </c>
      <c r="N20" s="217">
        <f t="shared" si="10"/>
        <v>5.9498512537186574</v>
      </c>
      <c r="O20" s="218">
        <v>31</v>
      </c>
      <c r="P20" s="217">
        <f t="shared" si="2"/>
        <v>36.949851253718656</v>
      </c>
      <c r="Q20" s="217">
        <f>6652.88/D20</f>
        <v>5.6548066298342539</v>
      </c>
      <c r="R20" s="218">
        <v>65.319999999999993</v>
      </c>
      <c r="S20" s="217">
        <f t="shared" si="3"/>
        <v>70.974806629834248</v>
      </c>
      <c r="T20" s="219">
        <v>0</v>
      </c>
      <c r="U20" s="218">
        <v>72</v>
      </c>
      <c r="V20" s="219">
        <f t="shared" si="4"/>
        <v>72</v>
      </c>
      <c r="W20" s="217">
        <f t="shared" si="11"/>
        <v>14.124293785310735</v>
      </c>
      <c r="X20" s="220">
        <v>177</v>
      </c>
      <c r="Y20" s="218">
        <v>350</v>
      </c>
      <c r="Z20" s="221">
        <f t="shared" si="12"/>
        <v>364.12429378531073</v>
      </c>
      <c r="AA20" s="221">
        <f>3612.5/D20</f>
        <v>3.0705482362940928</v>
      </c>
      <c r="AB20" s="220">
        <v>177</v>
      </c>
      <c r="AC20" s="218">
        <v>400</v>
      </c>
      <c r="AD20" s="221">
        <f t="shared" si="5"/>
        <v>403.07054823629409</v>
      </c>
      <c r="AE20" s="222">
        <v>0</v>
      </c>
      <c r="AF20" s="223">
        <v>177</v>
      </c>
      <c r="AG20" s="218">
        <v>240</v>
      </c>
      <c r="AH20" s="222">
        <f t="shared" si="6"/>
        <v>240</v>
      </c>
      <c r="AI20" s="221">
        <v>0</v>
      </c>
      <c r="AJ20" s="224">
        <v>250</v>
      </c>
      <c r="AK20" s="221">
        <f t="shared" si="13"/>
        <v>250</v>
      </c>
      <c r="AL20" s="225">
        <f>8936.2/D20</f>
        <v>7.595580110497238</v>
      </c>
      <c r="AM20" s="224">
        <v>207.05</v>
      </c>
      <c r="AN20" s="225">
        <f t="shared" si="14"/>
        <v>214.64558011049724</v>
      </c>
      <c r="AO20" s="222">
        <v>0</v>
      </c>
      <c r="AP20" s="224">
        <v>238</v>
      </c>
      <c r="AQ20" s="222">
        <f t="shared" si="15"/>
        <v>238</v>
      </c>
      <c r="AT20" s="228">
        <f t="shared" si="16"/>
        <v>238</v>
      </c>
      <c r="AU20" s="228">
        <f t="shared" si="17"/>
        <v>64</v>
      </c>
      <c r="AV20" s="228">
        <f t="shared" si="18"/>
        <v>72</v>
      </c>
      <c r="AW20" s="228">
        <f t="shared" si="19"/>
        <v>240</v>
      </c>
    </row>
    <row r="21" spans="1:49" x14ac:dyDescent="0.25">
      <c r="A21" s="376" t="s">
        <v>339</v>
      </c>
      <c r="B21" s="227" t="s">
        <v>70</v>
      </c>
      <c r="C21" s="216" t="s">
        <v>86</v>
      </c>
      <c r="D21" s="375">
        <v>847.2</v>
      </c>
      <c r="E21" s="374">
        <f t="shared" si="7"/>
        <v>8.262511803588291</v>
      </c>
      <c r="F21" s="218">
        <v>29</v>
      </c>
      <c r="G21" s="217">
        <f t="shared" si="8"/>
        <v>37.262511803588289</v>
      </c>
      <c r="H21" s="217">
        <f>13305.76/D21</f>
        <v>15.705571293673277</v>
      </c>
      <c r="I21" s="218">
        <f t="shared" si="9"/>
        <v>126.78999999999999</v>
      </c>
      <c r="J21" s="217">
        <f t="shared" si="0"/>
        <v>142.49557129367327</v>
      </c>
      <c r="K21" s="219">
        <v>0</v>
      </c>
      <c r="L21" s="218">
        <v>64</v>
      </c>
      <c r="M21" s="219">
        <f t="shared" si="1"/>
        <v>64</v>
      </c>
      <c r="N21" s="217">
        <f t="shared" si="10"/>
        <v>8.262511803588291</v>
      </c>
      <c r="O21" s="218">
        <v>31</v>
      </c>
      <c r="P21" s="217">
        <f t="shared" si="2"/>
        <v>39.262511803588289</v>
      </c>
      <c r="Q21" s="217">
        <f>13305.76/D21</f>
        <v>15.705571293673277</v>
      </c>
      <c r="R21" s="218">
        <v>65.319999999999993</v>
      </c>
      <c r="S21" s="217">
        <f t="shared" si="3"/>
        <v>81.025571293673266</v>
      </c>
      <c r="T21" s="219">
        <v>0</v>
      </c>
      <c r="U21" s="218">
        <v>72</v>
      </c>
      <c r="V21" s="219">
        <f t="shared" si="4"/>
        <v>72</v>
      </c>
      <c r="W21" s="217">
        <f t="shared" si="11"/>
        <v>19.53125</v>
      </c>
      <c r="X21" s="220">
        <v>128</v>
      </c>
      <c r="Y21" s="218">
        <v>350</v>
      </c>
      <c r="Z21" s="221">
        <f t="shared" si="12"/>
        <v>369.53125</v>
      </c>
      <c r="AA21" s="221">
        <f>7225/D21</f>
        <v>8.5280925401321994</v>
      </c>
      <c r="AB21" s="220">
        <v>128</v>
      </c>
      <c r="AC21" s="218">
        <v>400</v>
      </c>
      <c r="AD21" s="221">
        <f t="shared" si="5"/>
        <v>408.52809254013221</v>
      </c>
      <c r="AE21" s="222">
        <v>0</v>
      </c>
      <c r="AF21" s="223">
        <v>128</v>
      </c>
      <c r="AG21" s="218">
        <v>240</v>
      </c>
      <c r="AH21" s="222">
        <f t="shared" si="6"/>
        <v>240</v>
      </c>
      <c r="AI21" s="221">
        <v>0</v>
      </c>
      <c r="AJ21" s="224">
        <v>250</v>
      </c>
      <c r="AK21" s="221">
        <f t="shared" si="13"/>
        <v>250</v>
      </c>
      <c r="AL21" s="225">
        <f>17872.41/D21</f>
        <v>21.095856940509915</v>
      </c>
      <c r="AM21" s="224">
        <v>207.05</v>
      </c>
      <c r="AN21" s="225">
        <f t="shared" si="14"/>
        <v>228.14585694050993</v>
      </c>
      <c r="AO21" s="222">
        <v>0</v>
      </c>
      <c r="AP21" s="224">
        <v>238</v>
      </c>
      <c r="AQ21" s="222">
        <f t="shared" si="15"/>
        <v>238</v>
      </c>
      <c r="AT21" s="228">
        <f t="shared" si="16"/>
        <v>238</v>
      </c>
      <c r="AU21" s="228">
        <f t="shared" si="17"/>
        <v>64</v>
      </c>
      <c r="AV21" s="228">
        <f t="shared" si="18"/>
        <v>72</v>
      </c>
      <c r="AW21" s="228">
        <f t="shared" si="19"/>
        <v>240</v>
      </c>
    </row>
    <row r="22" spans="1:49" ht="16.5" customHeight="1" x14ac:dyDescent="0.25">
      <c r="A22" s="376" t="s">
        <v>339</v>
      </c>
      <c r="B22" s="227" t="s">
        <v>73</v>
      </c>
      <c r="C22" s="216" t="s">
        <v>342</v>
      </c>
      <c r="D22" s="375">
        <v>850.9</v>
      </c>
      <c r="E22" s="374">
        <f t="shared" si="7"/>
        <v>8.2265836173463391</v>
      </c>
      <c r="F22" s="218">
        <v>29</v>
      </c>
      <c r="G22" s="217">
        <f t="shared" si="8"/>
        <v>37.226583617346336</v>
      </c>
      <c r="H22" s="217">
        <f>13305.76/D22</f>
        <v>15.637278176048889</v>
      </c>
      <c r="I22" s="218">
        <f t="shared" si="9"/>
        <v>126.78999999999999</v>
      </c>
      <c r="J22" s="217">
        <f t="shared" si="0"/>
        <v>142.42727817604887</v>
      </c>
      <c r="K22" s="219">
        <v>0</v>
      </c>
      <c r="L22" s="218">
        <v>64</v>
      </c>
      <c r="M22" s="219">
        <f t="shared" si="1"/>
        <v>64</v>
      </c>
      <c r="N22" s="217">
        <f t="shared" si="10"/>
        <v>8.2265836173463391</v>
      </c>
      <c r="O22" s="218">
        <v>31</v>
      </c>
      <c r="P22" s="217">
        <f t="shared" si="2"/>
        <v>39.226583617346336</v>
      </c>
      <c r="Q22" s="217">
        <f>13305.76/D22</f>
        <v>15.637278176048889</v>
      </c>
      <c r="R22" s="218">
        <v>65.319999999999993</v>
      </c>
      <c r="S22" s="217">
        <f t="shared" si="3"/>
        <v>80.957278176048888</v>
      </c>
      <c r="T22" s="219">
        <v>0</v>
      </c>
      <c r="U22" s="218">
        <v>72</v>
      </c>
      <c r="V22" s="219">
        <f t="shared" si="4"/>
        <v>72</v>
      </c>
      <c r="W22" s="217">
        <f t="shared" si="11"/>
        <v>19.53125</v>
      </c>
      <c r="X22" s="220">
        <v>128</v>
      </c>
      <c r="Y22" s="218">
        <v>350</v>
      </c>
      <c r="Z22" s="221">
        <f t="shared" si="12"/>
        <v>369.53125</v>
      </c>
      <c r="AA22" s="221">
        <f>7225/D22</f>
        <v>8.4910095193324722</v>
      </c>
      <c r="AB22" s="220">
        <v>128</v>
      </c>
      <c r="AC22" s="218">
        <v>400</v>
      </c>
      <c r="AD22" s="221">
        <f t="shared" si="5"/>
        <v>408.49100951933247</v>
      </c>
      <c r="AE22" s="222">
        <v>0</v>
      </c>
      <c r="AF22" s="223">
        <v>128</v>
      </c>
      <c r="AG22" s="218">
        <v>240</v>
      </c>
      <c r="AH22" s="222">
        <f t="shared" si="6"/>
        <v>240</v>
      </c>
      <c r="AI22" s="221">
        <v>0</v>
      </c>
      <c r="AJ22" s="224">
        <v>250</v>
      </c>
      <c r="AK22" s="221">
        <f t="shared" si="13"/>
        <v>250</v>
      </c>
      <c r="AL22" s="225">
        <f>17872.41/D22</f>
        <v>21.004125044070985</v>
      </c>
      <c r="AM22" s="224">
        <v>207.05</v>
      </c>
      <c r="AN22" s="225">
        <f t="shared" si="14"/>
        <v>228.05412504407099</v>
      </c>
      <c r="AO22" s="222">
        <v>0</v>
      </c>
      <c r="AP22" s="224">
        <v>238</v>
      </c>
      <c r="AQ22" s="222">
        <f t="shared" si="15"/>
        <v>238</v>
      </c>
      <c r="AT22" s="228">
        <f t="shared" si="16"/>
        <v>238</v>
      </c>
      <c r="AU22" s="228">
        <f t="shared" si="17"/>
        <v>64</v>
      </c>
      <c r="AV22" s="228">
        <f t="shared" si="18"/>
        <v>72</v>
      </c>
      <c r="AW22" s="228">
        <f t="shared" si="19"/>
        <v>240</v>
      </c>
    </row>
    <row r="23" spans="1:49" x14ac:dyDescent="0.25">
      <c r="A23" s="376" t="s">
        <v>339</v>
      </c>
      <c r="B23" s="227" t="s">
        <v>93</v>
      </c>
      <c r="C23" s="216" t="s">
        <v>343</v>
      </c>
      <c r="D23" s="375">
        <v>936.8</v>
      </c>
      <c r="E23" s="374">
        <f t="shared" si="7"/>
        <v>7.4722459436379163</v>
      </c>
      <c r="F23" s="218">
        <v>29</v>
      </c>
      <c r="G23" s="217">
        <f t="shared" si="8"/>
        <v>36.472245943637915</v>
      </c>
      <c r="H23" s="217">
        <f t="shared" ref="H23:H24" si="21">6652.88/D23</f>
        <v>7.1017079419299751</v>
      </c>
      <c r="I23" s="218">
        <f t="shared" si="9"/>
        <v>126.78999999999999</v>
      </c>
      <c r="J23" s="217">
        <f t="shared" si="0"/>
        <v>133.89170794192998</v>
      </c>
      <c r="K23" s="219">
        <v>0</v>
      </c>
      <c r="L23" s="218">
        <v>64</v>
      </c>
      <c r="M23" s="219">
        <f t="shared" si="1"/>
        <v>64</v>
      </c>
      <c r="N23" s="217">
        <f t="shared" si="10"/>
        <v>7.4722459436379163</v>
      </c>
      <c r="O23" s="218">
        <v>31</v>
      </c>
      <c r="P23" s="217">
        <f t="shared" si="2"/>
        <v>38.472245943637915</v>
      </c>
      <c r="Q23" s="217">
        <f>6652.88/D23</f>
        <v>7.1017079419299751</v>
      </c>
      <c r="R23" s="218">
        <v>65.319999999999993</v>
      </c>
      <c r="S23" s="217">
        <f t="shared" si="3"/>
        <v>72.421707941929967</v>
      </c>
      <c r="T23" s="219">
        <v>0</v>
      </c>
      <c r="U23" s="218">
        <v>72</v>
      </c>
      <c r="V23" s="219">
        <f t="shared" si="4"/>
        <v>72</v>
      </c>
      <c r="W23" s="217">
        <f t="shared" si="11"/>
        <v>17.730496453900709</v>
      </c>
      <c r="X23" s="220">
        <v>141</v>
      </c>
      <c r="Y23" s="218">
        <v>350</v>
      </c>
      <c r="Z23" s="221">
        <f t="shared" si="12"/>
        <v>367.73049645390068</v>
      </c>
      <c r="AA23" s="221">
        <f>3612.5/D23</f>
        <v>3.8562126387702822</v>
      </c>
      <c r="AB23" s="220">
        <v>141</v>
      </c>
      <c r="AC23" s="218">
        <v>400</v>
      </c>
      <c r="AD23" s="221">
        <f t="shared" si="5"/>
        <v>403.85621263877027</v>
      </c>
      <c r="AE23" s="222">
        <v>0</v>
      </c>
      <c r="AF23" s="223">
        <v>141</v>
      </c>
      <c r="AG23" s="218">
        <v>240</v>
      </c>
      <c r="AH23" s="222">
        <f t="shared" si="6"/>
        <v>240</v>
      </c>
      <c r="AI23" s="221">
        <v>0</v>
      </c>
      <c r="AJ23" s="224">
        <v>250</v>
      </c>
      <c r="AK23" s="221">
        <f t="shared" si="13"/>
        <v>250</v>
      </c>
      <c r="AL23" s="225">
        <f>8936.2/D23</f>
        <v>9.5390691716481655</v>
      </c>
      <c r="AM23" s="224">
        <v>207.05</v>
      </c>
      <c r="AN23" s="225">
        <f t="shared" si="14"/>
        <v>216.58906917164819</v>
      </c>
      <c r="AO23" s="222">
        <v>0</v>
      </c>
      <c r="AP23" s="224">
        <v>238</v>
      </c>
      <c r="AQ23" s="222">
        <f t="shared" si="15"/>
        <v>238</v>
      </c>
      <c r="AT23" s="228">
        <f t="shared" si="16"/>
        <v>238</v>
      </c>
      <c r="AU23" s="228">
        <f t="shared" si="17"/>
        <v>64</v>
      </c>
      <c r="AV23" s="228">
        <f t="shared" si="18"/>
        <v>72</v>
      </c>
      <c r="AW23" s="228">
        <f t="shared" si="19"/>
        <v>240</v>
      </c>
    </row>
    <row r="24" spans="1:49" x14ac:dyDescent="0.25">
      <c r="A24" s="376" t="s">
        <v>339</v>
      </c>
      <c r="B24" s="227" t="s">
        <v>49</v>
      </c>
      <c r="C24" s="216" t="s">
        <v>344</v>
      </c>
      <c r="D24" s="375">
        <v>13.2</v>
      </c>
      <c r="E24" s="374">
        <f t="shared" si="7"/>
        <v>530.30303030303037</v>
      </c>
      <c r="F24" s="218">
        <v>29</v>
      </c>
      <c r="G24" s="217">
        <f t="shared" si="8"/>
        <v>559.30303030303037</v>
      </c>
      <c r="H24" s="217">
        <f t="shared" si="21"/>
        <v>504.00606060606066</v>
      </c>
      <c r="I24" s="218">
        <f t="shared" si="9"/>
        <v>126.78999999999999</v>
      </c>
      <c r="J24" s="217">
        <f t="shared" si="0"/>
        <v>630.79606060606068</v>
      </c>
      <c r="K24" s="219">
        <v>0</v>
      </c>
      <c r="L24" s="218">
        <v>64</v>
      </c>
      <c r="M24" s="219">
        <f t="shared" si="1"/>
        <v>64</v>
      </c>
      <c r="N24" s="217">
        <f t="shared" si="10"/>
        <v>530.30303030303037</v>
      </c>
      <c r="O24" s="218">
        <v>31</v>
      </c>
      <c r="P24" s="217">
        <f t="shared" si="2"/>
        <v>561.30303030303037</v>
      </c>
      <c r="Q24" s="217">
        <f>6652.88/D24</f>
        <v>504.00606060606066</v>
      </c>
      <c r="R24" s="218">
        <v>65.319999999999993</v>
      </c>
      <c r="S24" s="217">
        <f t="shared" si="3"/>
        <v>569.32606060606065</v>
      </c>
      <c r="T24" s="219">
        <v>0</v>
      </c>
      <c r="U24" s="218">
        <v>72</v>
      </c>
      <c r="V24" s="219">
        <f t="shared" si="4"/>
        <v>72</v>
      </c>
      <c r="W24" s="217">
        <f t="shared" si="11"/>
        <v>1250</v>
      </c>
      <c r="X24" s="220">
        <v>2</v>
      </c>
      <c r="Y24" s="218">
        <v>350</v>
      </c>
      <c r="Z24" s="221">
        <f t="shared" si="12"/>
        <v>1600</v>
      </c>
      <c r="AA24" s="221">
        <f>3612.5/D24</f>
        <v>273.67424242424244</v>
      </c>
      <c r="AB24" s="220">
        <v>2</v>
      </c>
      <c r="AC24" s="218">
        <v>400</v>
      </c>
      <c r="AD24" s="221">
        <f t="shared" si="5"/>
        <v>673.67424242424249</v>
      </c>
      <c r="AE24" s="222">
        <v>0</v>
      </c>
      <c r="AF24" s="223">
        <v>2</v>
      </c>
      <c r="AG24" s="218">
        <v>240</v>
      </c>
      <c r="AH24" s="222">
        <f t="shared" si="6"/>
        <v>240</v>
      </c>
      <c r="AI24" s="221">
        <v>0</v>
      </c>
      <c r="AJ24" s="224">
        <v>250</v>
      </c>
      <c r="AK24" s="221">
        <f t="shared" si="13"/>
        <v>250</v>
      </c>
      <c r="AL24" s="225">
        <f>8936.2/D24</f>
        <v>676.98484848484861</v>
      </c>
      <c r="AM24" s="224">
        <v>207.05</v>
      </c>
      <c r="AN24" s="225">
        <f t="shared" si="14"/>
        <v>884.03484848484868</v>
      </c>
      <c r="AO24" s="222">
        <v>0</v>
      </c>
      <c r="AP24" s="224">
        <v>238</v>
      </c>
      <c r="AQ24" s="222">
        <f t="shared" si="15"/>
        <v>238</v>
      </c>
      <c r="AT24" s="229">
        <f t="shared" si="16"/>
        <v>238</v>
      </c>
      <c r="AU24" s="229">
        <f t="shared" si="17"/>
        <v>64</v>
      </c>
      <c r="AV24" s="229">
        <f t="shared" si="18"/>
        <v>72</v>
      </c>
      <c r="AW24" s="229">
        <f t="shared" si="19"/>
        <v>240</v>
      </c>
    </row>
    <row r="25" spans="1:49" ht="15.75" thickBot="1" x14ac:dyDescent="0.3">
      <c r="A25" s="804" t="s">
        <v>75</v>
      </c>
      <c r="B25" s="805"/>
      <c r="C25" s="805"/>
      <c r="D25" s="806"/>
      <c r="G25" s="230">
        <f>SUM(G5:G24)</f>
        <v>1502.5011004311577</v>
      </c>
      <c r="J25" s="230">
        <f>SUM(J5:J24)</f>
        <v>3556.6094441465825</v>
      </c>
      <c r="K25" s="230"/>
      <c r="M25" s="230">
        <f>SUM(M5:M24)</f>
        <v>1280</v>
      </c>
      <c r="P25" s="230">
        <f>SUM(P5:P24)</f>
        <v>1542.5011004311577</v>
      </c>
      <c r="S25" s="230">
        <f>SUM(S5:S24)</f>
        <v>2327.2094441465829</v>
      </c>
      <c r="V25" s="230">
        <f>SUM(V5:V24)</f>
        <v>1440</v>
      </c>
      <c r="Z25" s="230">
        <f>SUM(Z5:Z24)</f>
        <v>9167.201075295794</v>
      </c>
      <c r="AC25" s="231"/>
      <c r="AD25" s="231">
        <f>SUM(AD5:AD24)</f>
        <v>8554.2974045796</v>
      </c>
      <c r="AH25" s="230">
        <f>SUM(AH5:AH24)</f>
        <v>4800</v>
      </c>
      <c r="AK25" s="230">
        <f>SUM(AK5:AK24)</f>
        <v>5000</v>
      </c>
      <c r="AN25" s="230">
        <f>SUM(AN5:AN24)</f>
        <v>5512.1593768895946</v>
      </c>
      <c r="AQ25" s="230">
        <f>SUM(AQ5:AQ24)</f>
        <v>4760</v>
      </c>
      <c r="AT25" s="230"/>
    </row>
    <row r="26" spans="1:49" x14ac:dyDescent="0.25">
      <c r="A26" s="232"/>
      <c r="B26" s="232"/>
      <c r="C26" s="232"/>
      <c r="D26" s="232"/>
    </row>
    <row r="27" spans="1:49" x14ac:dyDescent="0.25">
      <c r="A27" s="232"/>
    </row>
    <row r="29" spans="1:49" ht="15.75" thickBot="1" x14ac:dyDescent="0.3"/>
    <row r="30" spans="1:49" ht="15.75" thickBot="1" x14ac:dyDescent="0.3">
      <c r="AS30" s="786" t="s">
        <v>458</v>
      </c>
      <c r="AT30" s="787"/>
      <c r="AU30" s="787"/>
      <c r="AV30" s="788"/>
    </row>
    <row r="31" spans="1:49" ht="44.25" customHeight="1" x14ac:dyDescent="0.25">
      <c r="C31" s="230"/>
      <c r="AS31" s="501" t="s">
        <v>454</v>
      </c>
      <c r="AT31" s="498" t="s">
        <v>455</v>
      </c>
      <c r="AU31" s="504" t="s">
        <v>418</v>
      </c>
      <c r="AV31" s="505">
        <v>83.75</v>
      </c>
    </row>
    <row r="32" spans="1:49" ht="44.25" customHeight="1" x14ac:dyDescent="0.25">
      <c r="AS32" s="502" t="s">
        <v>457</v>
      </c>
      <c r="AT32" s="499" t="s">
        <v>455</v>
      </c>
      <c r="AU32" s="506" t="s">
        <v>418</v>
      </c>
      <c r="AV32" s="507">
        <v>167.08</v>
      </c>
    </row>
    <row r="33" spans="45:48" ht="44.25" customHeight="1" thickBot="1" x14ac:dyDescent="0.3">
      <c r="AS33" s="503" t="s">
        <v>456</v>
      </c>
      <c r="AT33" s="500" t="s">
        <v>455</v>
      </c>
      <c r="AU33" s="508" t="s">
        <v>418</v>
      </c>
      <c r="AV33" s="509">
        <v>167.08</v>
      </c>
    </row>
  </sheetData>
  <mergeCells count="24">
    <mergeCell ref="AS30:AV30"/>
    <mergeCell ref="A1:D1"/>
    <mergeCell ref="A2:A4"/>
    <mergeCell ref="B2:B4"/>
    <mergeCell ref="C2:C4"/>
    <mergeCell ref="D2:D4"/>
    <mergeCell ref="E2:M2"/>
    <mergeCell ref="N2:V2"/>
    <mergeCell ref="W2:AH2"/>
    <mergeCell ref="AI2:AQ2"/>
    <mergeCell ref="AT2:AW2"/>
    <mergeCell ref="AO3:AQ3"/>
    <mergeCell ref="A25:D25"/>
    <mergeCell ref="T3:V3"/>
    <mergeCell ref="W3:Z3"/>
    <mergeCell ref="AA3:AD3"/>
    <mergeCell ref="AE3:AH3"/>
    <mergeCell ref="AI3:AK3"/>
    <mergeCell ref="AL3:AN3"/>
    <mergeCell ref="E3:G3"/>
    <mergeCell ref="H3:J3"/>
    <mergeCell ref="K3:M3"/>
    <mergeCell ref="N3:P3"/>
    <mergeCell ref="Q3:S3"/>
  </mergeCells>
  <pageMargins left="0.51181102362204722" right="0.51181102362204722" top="0.78740157480314965" bottom="0.78740157480314965" header="0.31496062992125984" footer="0.31496062992125984"/>
  <pageSetup paperSize="9" scale="1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70"/>
  <sheetViews>
    <sheetView topLeftCell="A26" zoomScale="85" zoomScaleNormal="85" workbookViewId="0">
      <selection activeCell="F30" sqref="F30"/>
    </sheetView>
  </sheetViews>
  <sheetFormatPr defaultRowHeight="15" x14ac:dyDescent="0.25"/>
  <cols>
    <col min="1" max="1" width="58.42578125" bestFit="1" customWidth="1"/>
    <col min="2" max="2" width="13.7109375" style="1" bestFit="1" customWidth="1"/>
    <col min="3" max="3" width="8.42578125" style="1" customWidth="1"/>
    <col min="4" max="58" width="9.140625" style="1"/>
  </cols>
  <sheetData>
    <row r="1" spans="1:3" s="1" customFormat="1" x14ac:dyDescent="0.25"/>
    <row r="2" spans="1:3" s="1" customFormat="1" ht="15.75" x14ac:dyDescent="0.25">
      <c r="A2" s="807" t="s">
        <v>0</v>
      </c>
      <c r="B2" s="807"/>
      <c r="C2" s="807"/>
    </row>
    <row r="3" spans="1:3" s="1" customFormat="1" x14ac:dyDescent="0.25"/>
    <row r="4" spans="1:3" x14ac:dyDescent="0.25">
      <c r="A4" s="2" t="s">
        <v>460</v>
      </c>
    </row>
    <row r="6" spans="1:3" x14ac:dyDescent="0.25">
      <c r="A6" s="571" t="s">
        <v>1</v>
      </c>
    </row>
    <row r="7" spans="1:3" x14ac:dyDescent="0.25">
      <c r="A7" s="543" t="s">
        <v>2</v>
      </c>
      <c r="B7" s="544" t="s">
        <v>3</v>
      </c>
      <c r="C7" s="544">
        <v>1</v>
      </c>
    </row>
    <row r="8" spans="1:3" x14ac:dyDescent="0.25">
      <c r="A8" s="543" t="s">
        <v>4</v>
      </c>
      <c r="B8" s="544" t="s">
        <v>3</v>
      </c>
      <c r="C8" s="544">
        <v>0</v>
      </c>
    </row>
    <row r="9" spans="1:3" x14ac:dyDescent="0.25">
      <c r="A9" s="543" t="s">
        <v>5</v>
      </c>
      <c r="B9" s="544" t="s">
        <v>3</v>
      </c>
      <c r="C9" s="544">
        <v>0</v>
      </c>
    </row>
    <row r="10" spans="1:3" x14ac:dyDescent="0.25">
      <c r="A10" s="543" t="s">
        <v>6</v>
      </c>
      <c r="B10" s="544" t="s">
        <v>3</v>
      </c>
      <c r="C10" s="544">
        <v>0</v>
      </c>
    </row>
    <row r="11" spans="1:3" x14ac:dyDescent="0.25">
      <c r="A11" s="543" t="s">
        <v>7</v>
      </c>
      <c r="B11" s="544" t="s">
        <v>3</v>
      </c>
      <c r="C11" s="544">
        <v>1</v>
      </c>
    </row>
    <row r="12" spans="1:3" x14ac:dyDescent="0.25">
      <c r="A12" s="545" t="s">
        <v>8</v>
      </c>
      <c r="B12" s="544" t="s">
        <v>3</v>
      </c>
      <c r="C12" s="544">
        <v>0</v>
      </c>
    </row>
    <row r="13" spans="1:3" x14ac:dyDescent="0.25">
      <c r="A13" s="545" t="s">
        <v>9</v>
      </c>
      <c r="B13" s="544" t="s">
        <v>3</v>
      </c>
      <c r="C13" s="544">
        <v>0</v>
      </c>
    </row>
    <row r="14" spans="1:3" x14ac:dyDescent="0.25">
      <c r="A14" s="545" t="s">
        <v>10</v>
      </c>
      <c r="B14" s="544" t="s">
        <v>3</v>
      </c>
      <c r="C14" s="544">
        <v>0</v>
      </c>
    </row>
    <row r="15" spans="1:3" x14ac:dyDescent="0.25">
      <c r="A15" s="545" t="s">
        <v>11</v>
      </c>
      <c r="B15" s="544" t="s">
        <v>3</v>
      </c>
      <c r="C15" s="544">
        <v>1</v>
      </c>
    </row>
    <row r="16" spans="1:3" x14ac:dyDescent="0.25">
      <c r="A16" s="545" t="s">
        <v>12</v>
      </c>
      <c r="B16" s="544" t="s">
        <v>3</v>
      </c>
      <c r="C16" s="544">
        <v>1</v>
      </c>
    </row>
    <row r="17" spans="1:3" x14ac:dyDescent="0.25">
      <c r="A17" s="545" t="s">
        <v>13</v>
      </c>
      <c r="B17" s="544" t="s">
        <v>3</v>
      </c>
      <c r="C17" s="544">
        <v>1</v>
      </c>
    </row>
    <row r="18" spans="1:3" hidden="1" x14ac:dyDescent="0.25">
      <c r="A18" s="543"/>
      <c r="B18" s="544"/>
      <c r="C18" s="544"/>
    </row>
    <row r="19" spans="1:3" hidden="1" x14ac:dyDescent="0.25">
      <c r="A19" s="543"/>
      <c r="B19" s="544"/>
      <c r="C19" s="544"/>
    </row>
    <row r="20" spans="1:3" hidden="1" x14ac:dyDescent="0.25">
      <c r="A20" s="543"/>
      <c r="B20" s="544"/>
      <c r="C20" s="544"/>
    </row>
    <row r="21" spans="1:3" hidden="1" x14ac:dyDescent="0.25">
      <c r="A21" s="543"/>
      <c r="B21" s="544"/>
      <c r="C21" s="544"/>
    </row>
    <row r="22" spans="1:3" hidden="1" x14ac:dyDescent="0.25">
      <c r="A22" s="543"/>
      <c r="B22" s="544"/>
      <c r="C22" s="544"/>
    </row>
    <row r="23" spans="1:3" x14ac:dyDescent="0.25">
      <c r="A23" s="544" t="s">
        <v>466</v>
      </c>
      <c r="B23" s="544" t="s">
        <v>464</v>
      </c>
      <c r="C23" s="544">
        <v>2</v>
      </c>
    </row>
    <row r="25" spans="1:3" x14ac:dyDescent="0.25">
      <c r="A25" s="2" t="s">
        <v>461</v>
      </c>
    </row>
    <row r="27" spans="1:3" x14ac:dyDescent="0.25">
      <c r="A27" s="571" t="s">
        <v>1</v>
      </c>
    </row>
    <row r="28" spans="1:3" x14ac:dyDescent="0.25">
      <c r="A28" s="543" t="s">
        <v>2</v>
      </c>
      <c r="B28" s="544" t="s">
        <v>3</v>
      </c>
      <c r="C28" s="544">
        <v>1</v>
      </c>
    </row>
    <row r="29" spans="1:3" x14ac:dyDescent="0.25">
      <c r="A29" s="543" t="s">
        <v>4</v>
      </c>
      <c r="B29" s="544" t="s">
        <v>3</v>
      </c>
      <c r="C29" s="544">
        <v>0</v>
      </c>
    </row>
    <row r="30" spans="1:3" x14ac:dyDescent="0.25">
      <c r="A30" s="543" t="s">
        <v>5</v>
      </c>
      <c r="B30" s="544" t="s">
        <v>3</v>
      </c>
      <c r="C30" s="544">
        <v>0</v>
      </c>
    </row>
    <row r="31" spans="1:3" x14ac:dyDescent="0.25">
      <c r="A31" s="543" t="s">
        <v>6</v>
      </c>
      <c r="B31" s="544" t="s">
        <v>3</v>
      </c>
      <c r="C31" s="544">
        <v>0</v>
      </c>
    </row>
    <row r="32" spans="1:3" x14ac:dyDescent="0.25">
      <c r="A32" s="543" t="s">
        <v>7</v>
      </c>
      <c r="B32" s="544" t="s">
        <v>3</v>
      </c>
      <c r="C32" s="544">
        <v>1</v>
      </c>
    </row>
    <row r="33" spans="1:3" x14ac:dyDescent="0.25">
      <c r="A33" s="545" t="s">
        <v>8</v>
      </c>
      <c r="B33" s="544" t="s">
        <v>3</v>
      </c>
      <c r="C33" s="544">
        <v>1</v>
      </c>
    </row>
    <row r="34" spans="1:3" x14ac:dyDescent="0.25">
      <c r="A34" s="545" t="s">
        <v>9</v>
      </c>
      <c r="B34" s="544" t="s">
        <v>3</v>
      </c>
      <c r="C34" s="544">
        <v>0</v>
      </c>
    </row>
    <row r="35" spans="1:3" x14ac:dyDescent="0.25">
      <c r="A35" s="545" t="s">
        <v>10</v>
      </c>
      <c r="B35" s="544" t="s">
        <v>3</v>
      </c>
      <c r="C35" s="544">
        <v>0</v>
      </c>
    </row>
    <row r="36" spans="1:3" x14ac:dyDescent="0.25">
      <c r="A36" s="545" t="s">
        <v>11</v>
      </c>
      <c r="B36" s="544" t="s">
        <v>3</v>
      </c>
      <c r="C36" s="544">
        <v>1</v>
      </c>
    </row>
    <row r="37" spans="1:3" x14ac:dyDescent="0.25">
      <c r="A37" s="545" t="s">
        <v>12</v>
      </c>
      <c r="B37" s="544" t="s">
        <v>3</v>
      </c>
      <c r="C37" s="544">
        <v>1</v>
      </c>
    </row>
    <row r="38" spans="1:3" x14ac:dyDescent="0.25">
      <c r="A38" s="545" t="s">
        <v>13</v>
      </c>
      <c r="B38" s="544" t="s">
        <v>3</v>
      </c>
      <c r="C38" s="544">
        <v>1</v>
      </c>
    </row>
    <row r="39" spans="1:3" hidden="1" x14ac:dyDescent="0.25">
      <c r="A39" s="543"/>
      <c r="B39" s="544"/>
      <c r="C39" s="544"/>
    </row>
    <row r="40" spans="1:3" hidden="1" x14ac:dyDescent="0.25">
      <c r="A40" s="543"/>
      <c r="B40" s="544"/>
      <c r="C40" s="544"/>
    </row>
    <row r="41" spans="1:3" hidden="1" x14ac:dyDescent="0.25">
      <c r="A41" s="543"/>
      <c r="B41" s="544"/>
      <c r="C41" s="544"/>
    </row>
    <row r="42" spans="1:3" hidden="1" x14ac:dyDescent="0.25">
      <c r="A42" s="543"/>
      <c r="B42" s="544"/>
      <c r="C42" s="544"/>
    </row>
    <row r="43" spans="1:3" hidden="1" x14ac:dyDescent="0.25">
      <c r="A43" s="543"/>
      <c r="B43" s="544"/>
      <c r="C43" s="544"/>
    </row>
    <row r="44" spans="1:3" x14ac:dyDescent="0.25">
      <c r="A44" s="544" t="s">
        <v>466</v>
      </c>
      <c r="B44" s="544" t="s">
        <v>464</v>
      </c>
      <c r="C44" s="544">
        <v>3</v>
      </c>
    </row>
    <row r="45" spans="1:3" x14ac:dyDescent="0.25">
      <c r="A45" s="1"/>
    </row>
    <row r="46" spans="1:3" x14ac:dyDescent="0.25">
      <c r="A46" s="2" t="s">
        <v>462</v>
      </c>
    </row>
    <row r="48" spans="1:3" x14ac:dyDescent="0.25">
      <c r="A48" s="571" t="s">
        <v>1</v>
      </c>
    </row>
    <row r="49" spans="1:3" x14ac:dyDescent="0.25">
      <c r="A49" s="543" t="s">
        <v>2</v>
      </c>
      <c r="B49" s="544" t="s">
        <v>3</v>
      </c>
      <c r="C49" s="544">
        <v>1</v>
      </c>
    </row>
    <row r="50" spans="1:3" x14ac:dyDescent="0.25">
      <c r="A50" s="543" t="s">
        <v>4</v>
      </c>
      <c r="B50" s="544" t="s">
        <v>3</v>
      </c>
      <c r="C50" s="544">
        <v>0</v>
      </c>
    </row>
    <row r="51" spans="1:3" x14ac:dyDescent="0.25">
      <c r="A51" s="543" t="s">
        <v>5</v>
      </c>
      <c r="B51" s="544" t="s">
        <v>3</v>
      </c>
      <c r="C51" s="544">
        <v>0</v>
      </c>
    </row>
    <row r="52" spans="1:3" x14ac:dyDescent="0.25">
      <c r="A52" s="543" t="s">
        <v>6</v>
      </c>
      <c r="B52" s="544" t="s">
        <v>3</v>
      </c>
      <c r="C52" s="544">
        <v>0</v>
      </c>
    </row>
    <row r="53" spans="1:3" x14ac:dyDescent="0.25">
      <c r="A53" s="543" t="s">
        <v>7</v>
      </c>
      <c r="B53" s="544" t="s">
        <v>3</v>
      </c>
      <c r="C53" s="544">
        <v>1</v>
      </c>
    </row>
    <row r="54" spans="1:3" x14ac:dyDescent="0.25">
      <c r="A54" s="545" t="s">
        <v>8</v>
      </c>
      <c r="B54" s="544" t="s">
        <v>3</v>
      </c>
      <c r="C54" s="544">
        <v>1</v>
      </c>
    </row>
    <row r="55" spans="1:3" x14ac:dyDescent="0.25">
      <c r="A55" s="545" t="s">
        <v>9</v>
      </c>
      <c r="B55" s="544" t="s">
        <v>3</v>
      </c>
      <c r="C55" s="544">
        <v>0</v>
      </c>
    </row>
    <row r="56" spans="1:3" x14ac:dyDescent="0.25">
      <c r="A56" s="545" t="s">
        <v>10</v>
      </c>
      <c r="B56" s="544" t="s">
        <v>3</v>
      </c>
      <c r="C56" s="544">
        <v>0</v>
      </c>
    </row>
    <row r="57" spans="1:3" x14ac:dyDescent="0.25">
      <c r="A57" s="545" t="s">
        <v>11</v>
      </c>
      <c r="B57" s="544" t="s">
        <v>3</v>
      </c>
      <c r="C57" s="544">
        <v>1</v>
      </c>
    </row>
    <row r="58" spans="1:3" x14ac:dyDescent="0.25">
      <c r="A58" s="545" t="s">
        <v>12</v>
      </c>
      <c r="B58" s="544" t="s">
        <v>3</v>
      </c>
      <c r="C58" s="544">
        <v>2</v>
      </c>
    </row>
    <row r="59" spans="1:3" x14ac:dyDescent="0.25">
      <c r="A59" s="545" t="s">
        <v>13</v>
      </c>
      <c r="B59" s="544" t="s">
        <v>3</v>
      </c>
      <c r="C59" s="544">
        <v>1</v>
      </c>
    </row>
    <row r="60" spans="1:3" s="1" customFormat="1" x14ac:dyDescent="0.25">
      <c r="A60" s="544" t="s">
        <v>465</v>
      </c>
      <c r="B60" s="544" t="s">
        <v>464</v>
      </c>
      <c r="C60" s="544">
        <v>4</v>
      </c>
    </row>
    <row r="61" spans="1:3" s="1" customFormat="1" x14ac:dyDescent="0.25"/>
    <row r="62" spans="1:3" s="1" customFormat="1" x14ac:dyDescent="0.25"/>
    <row r="63" spans="1:3" s="1" customFormat="1" x14ac:dyDescent="0.25"/>
    <row r="64" spans="1:3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</sheetData>
  <mergeCells count="1">
    <mergeCell ref="A2:C2"/>
  </mergeCells>
  <pageMargins left="0.51181102362204722" right="0.51181102362204722" top="0.78740157480314965" bottom="0.78740157480314965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82"/>
  <sheetViews>
    <sheetView topLeftCell="A37" zoomScale="85" zoomScaleNormal="85" zoomScaleSheetLayoutView="90" workbookViewId="0">
      <selection activeCell="F57" sqref="F57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9" width="9.5703125" style="364" customWidth="1"/>
    <col min="10" max="11" width="9.5703125" style="18" customWidth="1"/>
    <col min="12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28" t="s">
        <v>97</v>
      </c>
      <c r="B1" s="629"/>
      <c r="C1" s="629"/>
      <c r="D1" s="629"/>
      <c r="E1" s="629"/>
      <c r="F1" s="629"/>
      <c r="G1" s="630"/>
    </row>
    <row r="2" spans="1:10" ht="78.75" customHeight="1" thickBot="1" x14ac:dyDescent="0.3">
      <c r="A2" s="640" t="s">
        <v>98</v>
      </c>
      <c r="B2" s="641"/>
      <c r="C2" s="631" t="s">
        <v>202</v>
      </c>
      <c r="D2" s="632"/>
      <c r="E2" s="633"/>
      <c r="F2" s="634" t="s">
        <v>99</v>
      </c>
      <c r="G2" s="635"/>
      <c r="J2" s="19"/>
    </row>
    <row r="3" spans="1:10" ht="16.5" thickBot="1" x14ac:dyDescent="0.3">
      <c r="A3" s="642" t="s">
        <v>100</v>
      </c>
      <c r="B3" s="643"/>
      <c r="C3" s="638">
        <f>Resumo!G5+Resumo!G6+Resumo!G7</f>
        <v>1125.2</v>
      </c>
      <c r="D3" s="638"/>
      <c r="E3" s="639"/>
      <c r="F3" s="636"/>
      <c r="G3" s="637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29" t="s">
        <v>101</v>
      </c>
      <c r="B6" s="30" t="s">
        <v>102</v>
      </c>
      <c r="C6" s="31" t="s">
        <v>103</v>
      </c>
      <c r="D6" s="31" t="s">
        <v>104</v>
      </c>
      <c r="E6" s="32" t="s">
        <v>105</v>
      </c>
      <c r="F6" s="32" t="s">
        <v>106</v>
      </c>
      <c r="G6" s="33" t="s">
        <v>107</v>
      </c>
      <c r="H6" s="34"/>
      <c r="I6" s="36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142783.31571386437</v>
      </c>
      <c r="H7" s="34"/>
      <c r="J7" s="42"/>
    </row>
    <row r="8" spans="1:10" x14ac:dyDescent="0.25">
      <c r="A8" s="37"/>
      <c r="B8" s="38">
        <v>1</v>
      </c>
      <c r="C8" s="464" t="s">
        <v>109</v>
      </c>
      <c r="D8" s="299"/>
      <c r="E8" s="44"/>
      <c r="F8" s="45"/>
      <c r="G8" s="465"/>
      <c r="J8" s="46"/>
    </row>
    <row r="9" spans="1:10" x14ac:dyDescent="0.25">
      <c r="A9" s="37"/>
      <c r="B9" s="38" t="s">
        <v>110</v>
      </c>
      <c r="C9" s="464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66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366"/>
      <c r="J10" s="46"/>
    </row>
    <row r="11" spans="1:10" x14ac:dyDescent="0.25">
      <c r="A11" s="37"/>
      <c r="B11" s="38"/>
      <c r="C11" s="464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366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>
        <v>0</v>
      </c>
      <c r="F14" s="63">
        <f>VLOOKUP(A14,'Planilha base'!$C$11:$F$27,4)</f>
        <v>13432.23</v>
      </c>
      <c r="G14" s="467">
        <f>E14*F14</f>
        <v>0</v>
      </c>
      <c r="I14" s="366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>
        <v>0</v>
      </c>
      <c r="F15" s="63">
        <f>VLOOKUP(A15,'Planilha base'!$C$11:$F$27,4)</f>
        <v>10508.36</v>
      </c>
      <c r="G15" s="467">
        <f>E15*F15</f>
        <v>0</v>
      </c>
      <c r="I15" s="366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>
        <v>0</v>
      </c>
      <c r="F16" s="63">
        <f>VLOOKUP(A16,'Planilha base'!$C$11:$F$27,4)</f>
        <v>8645.2999999999993</v>
      </c>
      <c r="G16" s="467">
        <f>E16*F16</f>
        <v>0</v>
      </c>
      <c r="I16" s="366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366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0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0</v>
      </c>
      <c r="F20" s="63">
        <f>VLOOKUP(A20,'Planilha base'!$C$11:$F$27,4)</f>
        <v>4644.72</v>
      </c>
      <c r="G20" s="467">
        <f>E20*F20</f>
        <v>0</v>
      </c>
      <c r="I20" s="366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366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366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366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366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366"/>
      <c r="J27" s="46"/>
    </row>
    <row r="28" spans="1:10" x14ac:dyDescent="0.25">
      <c r="A28" s="47"/>
      <c r="B28" s="48"/>
      <c r="C28" s="471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52" t="s">
        <v>143</v>
      </c>
      <c r="D29" s="53"/>
      <c r="E29" s="44"/>
      <c r="F29" s="473"/>
      <c r="G29" s="469">
        <f>SUM(G30:G31)</f>
        <v>27195.269743333338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32165.4</v>
      </c>
      <c r="F31" s="301">
        <v>0.84040000000000004</v>
      </c>
      <c r="G31" s="467">
        <f>E31*F31</f>
        <v>27031.802160000003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1" x14ac:dyDescent="0.25">
      <c r="A33" s="37"/>
      <c r="B33" s="38">
        <v>3</v>
      </c>
      <c r="C33" s="52" t="s">
        <v>149</v>
      </c>
      <c r="D33" s="58"/>
      <c r="E33" s="44"/>
      <c r="F33" s="301"/>
      <c r="G33" s="469">
        <f>G34</f>
        <v>9894.8213749999995</v>
      </c>
      <c r="J33" s="46"/>
    </row>
    <row r="34" spans="1:11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32982.737916666665</v>
      </c>
      <c r="F34" s="301">
        <v>0.3</v>
      </c>
      <c r="G34" s="467">
        <f>E34*F34</f>
        <v>9894.8213749999995</v>
      </c>
      <c r="J34" s="46"/>
    </row>
    <row r="35" spans="1:11" x14ac:dyDescent="0.25">
      <c r="A35" s="37"/>
      <c r="B35" s="38"/>
      <c r="C35" s="52"/>
      <c r="D35" s="57"/>
      <c r="E35" s="44"/>
      <c r="F35" s="474"/>
      <c r="G35" s="469"/>
      <c r="J35" s="46"/>
    </row>
    <row r="36" spans="1:11" s="60" customFormat="1" x14ac:dyDescent="0.25">
      <c r="A36" s="37"/>
      <c r="B36" s="38">
        <v>4</v>
      </c>
      <c r="C36" s="52" t="s">
        <v>152</v>
      </c>
      <c r="D36" s="58"/>
      <c r="E36" s="59"/>
      <c r="F36" s="475"/>
      <c r="G36" s="469">
        <f>SUM(G37:G38)</f>
        <v>6234.54</v>
      </c>
      <c r="I36" s="367"/>
      <c r="J36" s="46"/>
      <c r="K36" s="61"/>
    </row>
    <row r="37" spans="1:11" x14ac:dyDescent="0.25">
      <c r="A37" s="47"/>
      <c r="B37" s="48" t="s">
        <v>153</v>
      </c>
      <c r="C37" s="55" t="s">
        <v>154</v>
      </c>
      <c r="D37" s="53" t="s">
        <v>155</v>
      </c>
      <c r="E37" s="44">
        <v>2</v>
      </c>
      <c r="F37" s="63">
        <f>'Tabela DNIT-Consult'!$L$23</f>
        <v>3117.27</v>
      </c>
      <c r="G37" s="467">
        <f>E37*F37</f>
        <v>6234.54</v>
      </c>
      <c r="I37" s="366"/>
      <c r="J37" s="46"/>
    </row>
    <row r="38" spans="1:11" x14ac:dyDescent="0.25">
      <c r="A38" s="47"/>
      <c r="B38" s="48" t="s">
        <v>156</v>
      </c>
      <c r="C38" s="55" t="s">
        <v>157</v>
      </c>
      <c r="D38" s="53" t="s">
        <v>155</v>
      </c>
      <c r="E38" s="44"/>
      <c r="F38" s="63">
        <f>'Tabela DNIT-Consult'!$L$25</f>
        <v>4660.3100000000004</v>
      </c>
      <c r="G38" s="467">
        <f>E38*F38</f>
        <v>0</v>
      </c>
      <c r="I38" s="366"/>
      <c r="J38" s="46"/>
    </row>
    <row r="39" spans="1:11" x14ac:dyDescent="0.25">
      <c r="A39" s="47"/>
      <c r="B39" s="48"/>
      <c r="C39" s="476"/>
      <c r="D39" s="57"/>
      <c r="E39" s="44"/>
      <c r="F39" s="63"/>
      <c r="G39" s="469"/>
      <c r="J39" s="46"/>
    </row>
    <row r="40" spans="1:11" x14ac:dyDescent="0.25">
      <c r="A40" s="37"/>
      <c r="B40" s="38">
        <v>5</v>
      </c>
      <c r="C40" s="52" t="s">
        <v>158</v>
      </c>
      <c r="D40" s="58"/>
      <c r="E40" s="59"/>
      <c r="F40" s="64"/>
      <c r="G40" s="469">
        <f>SUM(G41:G45)</f>
        <v>242.73333333333332</v>
      </c>
      <c r="H40" s="65"/>
      <c r="J40" s="46"/>
    </row>
    <row r="41" spans="1:11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366"/>
      <c r="J41" s="46"/>
    </row>
    <row r="42" spans="1:11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366"/>
      <c r="J42" s="46"/>
    </row>
    <row r="43" spans="1:11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368"/>
      <c r="J43" s="46"/>
    </row>
    <row r="44" spans="1:11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368"/>
      <c r="J44" s="46"/>
    </row>
    <row r="45" spans="1:11" x14ac:dyDescent="0.25">
      <c r="A45" s="47"/>
      <c r="B45" s="48" t="s">
        <v>167</v>
      </c>
      <c r="C45" s="66" t="s">
        <v>168</v>
      </c>
      <c r="D45" s="53" t="s">
        <v>155</v>
      </c>
      <c r="E45" s="44">
        <v>5</v>
      </c>
      <c r="F45" s="63">
        <f>375/60</f>
        <v>6.25</v>
      </c>
      <c r="G45" s="467">
        <f>E45*F45</f>
        <v>31.25</v>
      </c>
      <c r="I45" s="368"/>
      <c r="J45" s="46"/>
    </row>
    <row r="46" spans="1:11" x14ac:dyDescent="0.25">
      <c r="A46" s="47"/>
      <c r="B46" s="48"/>
      <c r="C46" s="55"/>
      <c r="D46" s="57"/>
      <c r="E46" s="69"/>
      <c r="F46" s="63"/>
      <c r="G46" s="469"/>
      <c r="I46" s="368"/>
      <c r="J46" s="46"/>
    </row>
    <row r="47" spans="1:11" x14ac:dyDescent="0.25">
      <c r="A47" s="37"/>
      <c r="B47" s="38">
        <v>6</v>
      </c>
      <c r="C47" s="52" t="s">
        <v>169</v>
      </c>
      <c r="D47" s="58"/>
      <c r="E47" s="58"/>
      <c r="F47" s="64"/>
      <c r="G47" s="469">
        <f>G48</f>
        <v>1500</v>
      </c>
      <c r="I47" s="368"/>
      <c r="J47" s="46"/>
    </row>
    <row r="48" spans="1:11" x14ac:dyDescent="0.25">
      <c r="A48" s="47"/>
      <c r="B48" s="48" t="s">
        <v>170</v>
      </c>
      <c r="C48" s="55" t="s">
        <v>169</v>
      </c>
      <c r="D48" s="53" t="s">
        <v>171</v>
      </c>
      <c r="E48" s="44">
        <v>1000</v>
      </c>
      <c r="F48" s="63">
        <f>'Planilha base'!F47</f>
        <v>1.5</v>
      </c>
      <c r="G48" s="467">
        <f>E48*F48</f>
        <v>1500</v>
      </c>
      <c r="I48" s="368"/>
      <c r="J48" s="46"/>
    </row>
    <row r="49" spans="1:10" x14ac:dyDescent="0.25">
      <c r="A49" s="47"/>
      <c r="B49" s="48"/>
      <c r="C49" s="55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45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366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366"/>
      <c r="J52" s="46"/>
    </row>
    <row r="53" spans="1:10" x14ac:dyDescent="0.25">
      <c r="A53" s="47"/>
      <c r="B53" s="48"/>
      <c r="C53" s="55"/>
      <c r="D53" s="57"/>
      <c r="E53" s="69"/>
      <c r="F53" s="63"/>
      <c r="G53" s="469"/>
      <c r="I53" s="366"/>
    </row>
    <row r="54" spans="1:10" x14ac:dyDescent="0.25">
      <c r="A54" s="47"/>
      <c r="B54" s="38">
        <v>8</v>
      </c>
      <c r="C54" s="52" t="s">
        <v>178</v>
      </c>
      <c r="D54" s="57"/>
      <c r="E54" s="69"/>
      <c r="F54" s="63"/>
      <c r="G54" s="469">
        <f>SUM(G55:G56)</f>
        <v>28764</v>
      </c>
      <c r="I54" s="366"/>
    </row>
    <row r="55" spans="1:10" x14ac:dyDescent="0.25">
      <c r="A55" s="47"/>
      <c r="B55" s="48" t="s">
        <v>179</v>
      </c>
      <c r="C55" s="55" t="s">
        <v>16</v>
      </c>
      <c r="D55" s="57" t="s">
        <v>180</v>
      </c>
      <c r="E55" s="69">
        <f>SUM(Diárias!C5:C24)</f>
        <v>120</v>
      </c>
      <c r="F55" s="63">
        <f>'Planilha base'!G77</f>
        <v>239.7</v>
      </c>
      <c r="G55" s="467">
        <f>E55*F55</f>
        <v>28764</v>
      </c>
      <c r="I55" s="366"/>
    </row>
    <row r="56" spans="1:10" x14ac:dyDescent="0.25">
      <c r="A56" s="47"/>
      <c r="B56" s="48" t="s">
        <v>181</v>
      </c>
      <c r="C56" s="55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368"/>
      <c r="J56" s="46"/>
    </row>
    <row r="57" spans="1:10" x14ac:dyDescent="0.25">
      <c r="A57" s="47"/>
      <c r="B57" s="48"/>
      <c r="C57" s="55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52" t="s">
        <v>184</v>
      </c>
      <c r="D58" s="58"/>
      <c r="E58" s="58"/>
      <c r="F58" s="73"/>
      <c r="G58" s="469">
        <f>SUM(G59:G60)</f>
        <v>33466.64334553104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109316.67236833334</v>
      </c>
      <c r="F59" s="301">
        <v>0.12</v>
      </c>
      <c r="G59" s="467">
        <f>E59*F59</f>
        <v>13118.0006842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122434.67305253334</v>
      </c>
      <c r="F60" s="301">
        <v>0.16619999999999999</v>
      </c>
      <c r="G60" s="467">
        <f>E60*F60</f>
        <v>20348.64266133104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142783.31571386437</v>
      </c>
      <c r="H62" s="77"/>
      <c r="I62" s="369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1713399.7885663724</v>
      </c>
      <c r="H63" s="79"/>
      <c r="I63" s="37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24" t="s">
        <v>191</v>
      </c>
      <c r="B66" s="624"/>
      <c r="C66" s="624"/>
      <c r="D66" s="624"/>
      <c r="E66" s="624"/>
      <c r="F66" s="624"/>
      <c r="G66" s="624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625" t="s">
        <v>101</v>
      </c>
      <c r="B68" s="626"/>
      <c r="C68" s="87" t="s">
        <v>103</v>
      </c>
      <c r="D68" s="88"/>
      <c r="E68" s="89" t="s">
        <v>192</v>
      </c>
      <c r="F68" s="89" t="s">
        <v>193</v>
      </c>
      <c r="G68" s="90" t="s">
        <v>194</v>
      </c>
    </row>
    <row r="69" spans="1:7" x14ac:dyDescent="0.25">
      <c r="A69" s="616" t="s">
        <v>247</v>
      </c>
      <c r="B69" s="617"/>
      <c r="C69" s="477" t="s">
        <v>384</v>
      </c>
      <c r="D69" s="478"/>
      <c r="E69" s="261">
        <f>'Relatorios LOTE 01'!D145</f>
        <v>1</v>
      </c>
      <c r="F69" s="263">
        <f>'Relatorios LOTE 01'!D26</f>
        <v>742.63200000000006</v>
      </c>
      <c r="G69" s="262">
        <f t="shared" ref="G69:G74" si="0">F69*E69</f>
        <v>742.63200000000006</v>
      </c>
    </row>
    <row r="70" spans="1:7" x14ac:dyDescent="0.25">
      <c r="A70" s="616" t="s">
        <v>249</v>
      </c>
      <c r="B70" s="617"/>
      <c r="C70" s="477" t="s">
        <v>420</v>
      </c>
      <c r="D70" s="478"/>
      <c r="E70" s="261">
        <f>'Relatorios LOTE 01'!D146</f>
        <v>1</v>
      </c>
      <c r="F70" s="263">
        <f>'Relatorios LOTE 01'!D50</f>
        <v>405.072</v>
      </c>
      <c r="G70" s="262">
        <f t="shared" si="0"/>
        <v>405.072</v>
      </c>
    </row>
    <row r="71" spans="1:7" x14ac:dyDescent="0.25">
      <c r="A71" s="616" t="s">
        <v>419</v>
      </c>
      <c r="B71" s="617"/>
      <c r="C71" s="477" t="s">
        <v>421</v>
      </c>
      <c r="D71" s="478"/>
      <c r="E71" s="261">
        <f>'Relatorios LOTE 01'!D147</f>
        <v>1</v>
      </c>
      <c r="F71" s="263">
        <f>'Relatorios LOTE 01'!D74</f>
        <v>308.95179000000002</v>
      </c>
      <c r="G71" s="262">
        <f t="shared" si="0"/>
        <v>308.95179000000002</v>
      </c>
    </row>
    <row r="72" spans="1:7" x14ac:dyDescent="0.25">
      <c r="A72" s="616" t="s">
        <v>255</v>
      </c>
      <c r="B72" s="617"/>
      <c r="C72" s="477" t="s">
        <v>422</v>
      </c>
      <c r="D72" s="478"/>
      <c r="E72" s="261">
        <f>'Relatorios LOTE 01'!D148</f>
        <v>1</v>
      </c>
      <c r="F72" s="263">
        <f>'Relatorios LOTE 01'!D95</f>
        <v>374.94477000000001</v>
      </c>
      <c r="G72" s="262">
        <f t="shared" si="0"/>
        <v>374.94477000000001</v>
      </c>
    </row>
    <row r="73" spans="1:7" x14ac:dyDescent="0.25">
      <c r="A73" s="616" t="s">
        <v>258</v>
      </c>
      <c r="B73" s="617"/>
      <c r="C73" s="477" t="s">
        <v>424</v>
      </c>
      <c r="D73" s="478"/>
      <c r="E73" s="261">
        <f>'Relatorios LOTE 01'!D149</f>
        <v>1</v>
      </c>
      <c r="F73" s="263">
        <f>'Relatorios LOTE 01'!D116</f>
        <v>401.64014000000003</v>
      </c>
      <c r="G73" s="262">
        <f t="shared" si="0"/>
        <v>401.64014000000003</v>
      </c>
    </row>
    <row r="74" spans="1:7" x14ac:dyDescent="0.25">
      <c r="A74" s="616" t="s">
        <v>261</v>
      </c>
      <c r="B74" s="617"/>
      <c r="C74" s="477" t="s">
        <v>524</v>
      </c>
      <c r="D74" s="478"/>
      <c r="E74" s="261">
        <f>'Relatorios LOTE 01'!D150</f>
        <v>12</v>
      </c>
      <c r="F74" s="263">
        <f>'Relatorios LOTE 01'!D138</f>
        <v>1732.8080000000002</v>
      </c>
      <c r="G74" s="262">
        <f t="shared" si="0"/>
        <v>20793.696000000004</v>
      </c>
    </row>
    <row r="75" spans="1:7" x14ac:dyDescent="0.25">
      <c r="A75" s="616"/>
      <c r="B75" s="617"/>
      <c r="C75" s="477"/>
      <c r="D75" s="478"/>
      <c r="E75" s="261"/>
      <c r="F75" s="263"/>
      <c r="G75" s="262"/>
    </row>
    <row r="76" spans="1:7" x14ac:dyDescent="0.25">
      <c r="A76" s="620"/>
      <c r="B76" s="621"/>
      <c r="C76" s="264"/>
      <c r="D76" s="260"/>
      <c r="E76" s="265"/>
      <c r="F76" s="266" t="s">
        <v>195</v>
      </c>
      <c r="G76" s="267">
        <f>SUM(G69:G75)</f>
        <v>23026.936700000006</v>
      </c>
    </row>
    <row r="77" spans="1:7" x14ac:dyDescent="0.25">
      <c r="A77" s="620"/>
      <c r="B77" s="621"/>
      <c r="C77" s="264"/>
      <c r="D77" s="260"/>
      <c r="E77" s="265"/>
      <c r="F77" s="265"/>
      <c r="G77" s="268" t="s">
        <v>193</v>
      </c>
    </row>
    <row r="78" spans="1:7" x14ac:dyDescent="0.25">
      <c r="A78" s="620"/>
      <c r="B78" s="621"/>
      <c r="C78" s="269" t="s">
        <v>196</v>
      </c>
      <c r="D78" s="260"/>
      <c r="E78" s="265"/>
      <c r="F78" s="265"/>
      <c r="G78" s="262"/>
    </row>
    <row r="79" spans="1:7" x14ac:dyDescent="0.25">
      <c r="A79" s="620"/>
      <c r="B79" s="621"/>
      <c r="C79" s="269" t="s">
        <v>197</v>
      </c>
      <c r="D79" s="260"/>
      <c r="E79" s="265"/>
      <c r="F79" s="265" t="s">
        <v>198</v>
      </c>
      <c r="G79" s="262">
        <f>G63</f>
        <v>1713399.7885663724</v>
      </c>
    </row>
    <row r="80" spans="1:7" x14ac:dyDescent="0.25">
      <c r="A80" s="620"/>
      <c r="B80" s="621"/>
      <c r="C80" s="269" t="s">
        <v>199</v>
      </c>
      <c r="D80" s="260"/>
      <c r="E80" s="265"/>
      <c r="F80" s="265" t="s">
        <v>193</v>
      </c>
      <c r="G80" s="262">
        <f>G76</f>
        <v>23026.936700000006</v>
      </c>
    </row>
    <row r="81" spans="1:7" x14ac:dyDescent="0.25">
      <c r="A81" s="622"/>
      <c r="B81" s="623"/>
      <c r="C81" s="270" t="s">
        <v>200</v>
      </c>
      <c r="D81" s="271"/>
      <c r="E81" s="272"/>
      <c r="F81" s="272" t="s">
        <v>201</v>
      </c>
      <c r="G81" s="273">
        <f>ROUND(G79/G80,2)</f>
        <v>74.41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  <mergeCell ref="A72:B72"/>
    <mergeCell ref="A73:B73"/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64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zoomScale="55" zoomScaleNormal="55" workbookViewId="0">
      <selection activeCell="B25" sqref="B25"/>
    </sheetView>
  </sheetViews>
  <sheetFormatPr defaultColWidth="8.7109375" defaultRowHeight="18" x14ac:dyDescent="0.25"/>
  <cols>
    <col min="1" max="1" width="50.5703125" style="6" bestFit="1" customWidth="1"/>
    <col min="2" max="2" width="15.5703125" style="4" customWidth="1"/>
    <col min="3" max="9" width="15.140625" style="4" customWidth="1"/>
    <col min="10" max="10" width="12.5703125" style="5" customWidth="1"/>
    <col min="11" max="11" width="8.7109375" style="5"/>
    <col min="12" max="12" width="10" style="5" customWidth="1"/>
    <col min="13" max="13" width="8.7109375" style="5"/>
    <col min="14" max="16384" width="8.7109375" style="6"/>
  </cols>
  <sheetData>
    <row r="1" spans="1:11" x14ac:dyDescent="0.25">
      <c r="A1" s="363"/>
      <c r="B1" s="3"/>
      <c r="C1" s="3"/>
      <c r="D1" s="3"/>
      <c r="E1" s="3"/>
    </row>
    <row r="2" spans="1:11" ht="15.75" x14ac:dyDescent="0.25">
      <c r="A2" s="808" t="s">
        <v>474</v>
      </c>
      <c r="B2" s="809" t="s">
        <v>473</v>
      </c>
      <c r="C2" s="808" t="s">
        <v>14</v>
      </c>
      <c r="D2" s="808"/>
      <c r="E2" s="808"/>
      <c r="F2" s="808"/>
      <c r="G2" s="808"/>
      <c r="H2" s="808"/>
      <c r="I2" s="808"/>
    </row>
    <row r="3" spans="1:11" ht="18" customHeight="1" x14ac:dyDescent="0.25">
      <c r="A3" s="808"/>
      <c r="B3" s="809"/>
      <c r="C3" s="808"/>
      <c r="D3" s="808"/>
      <c r="E3" s="808"/>
      <c r="F3" s="808"/>
      <c r="G3" s="808"/>
      <c r="H3" s="808"/>
      <c r="I3" s="808"/>
    </row>
    <row r="4" spans="1:11" ht="20.25" x14ac:dyDescent="0.25">
      <c r="A4" s="808"/>
      <c r="B4" s="809"/>
      <c r="C4" s="494" t="s">
        <v>17</v>
      </c>
      <c r="D4" s="494" t="s">
        <v>18</v>
      </c>
      <c r="E4" s="494" t="s">
        <v>19</v>
      </c>
      <c r="F4" s="494" t="s">
        <v>20</v>
      </c>
      <c r="G4" s="494" t="s">
        <v>21</v>
      </c>
      <c r="H4" s="494" t="s">
        <v>22</v>
      </c>
      <c r="I4" s="494" t="s">
        <v>23</v>
      </c>
    </row>
    <row r="5" spans="1:11" ht="20.25" x14ac:dyDescent="0.25">
      <c r="A5" s="495" t="s">
        <v>88</v>
      </c>
      <c r="B5" s="496">
        <v>40</v>
      </c>
      <c r="C5" s="7">
        <f>B5</f>
        <v>40</v>
      </c>
      <c r="D5" s="7"/>
      <c r="E5" s="7"/>
      <c r="F5" s="7"/>
      <c r="G5" s="7"/>
      <c r="H5" s="7"/>
      <c r="I5" s="7"/>
      <c r="J5" s="8"/>
      <c r="K5" s="274"/>
    </row>
    <row r="6" spans="1:11" ht="20.25" x14ac:dyDescent="0.25">
      <c r="A6" s="495" t="s">
        <v>90</v>
      </c>
      <c r="B6" s="496">
        <v>20</v>
      </c>
      <c r="C6" s="7"/>
      <c r="D6" s="7">
        <f>B6</f>
        <v>20</v>
      </c>
      <c r="E6" s="7"/>
      <c r="F6" s="7"/>
      <c r="G6" s="7"/>
      <c r="H6" s="7"/>
      <c r="I6" s="7"/>
      <c r="J6" s="8"/>
      <c r="K6" s="274"/>
    </row>
    <row r="7" spans="1:11" ht="20.25" x14ac:dyDescent="0.25">
      <c r="A7" s="495" t="s">
        <v>42</v>
      </c>
      <c r="B7" s="496">
        <v>20</v>
      </c>
      <c r="C7" s="7"/>
      <c r="D7" s="7">
        <f>B7</f>
        <v>20</v>
      </c>
      <c r="E7" s="7"/>
      <c r="F7" s="7"/>
      <c r="G7" s="7"/>
      <c r="H7" s="7"/>
      <c r="I7" s="7"/>
      <c r="J7" s="8"/>
      <c r="K7" s="274"/>
    </row>
    <row r="8" spans="1:11" ht="21" x14ac:dyDescent="0.25">
      <c r="A8" s="495" t="s">
        <v>53</v>
      </c>
      <c r="B8" s="496">
        <v>40</v>
      </c>
      <c r="C8" s="7"/>
      <c r="D8" s="7"/>
      <c r="E8" s="7"/>
      <c r="F8" s="7">
        <f>B8</f>
        <v>40</v>
      </c>
      <c r="G8" s="7"/>
      <c r="H8" s="7"/>
      <c r="I8" s="7"/>
      <c r="J8" s="11"/>
      <c r="K8" s="274"/>
    </row>
    <row r="9" spans="1:11" ht="20.25" x14ac:dyDescent="0.25">
      <c r="A9" s="495" t="s">
        <v>59</v>
      </c>
      <c r="B9" s="496">
        <v>40</v>
      </c>
      <c r="C9" s="7"/>
      <c r="D9" s="7"/>
      <c r="E9" s="7"/>
      <c r="F9" s="7"/>
      <c r="G9" s="7">
        <f>B9</f>
        <v>40</v>
      </c>
      <c r="H9" s="7"/>
      <c r="I9" s="7"/>
      <c r="J9" s="8"/>
      <c r="K9" s="274"/>
    </row>
    <row r="10" spans="1:11" ht="20.25" x14ac:dyDescent="0.25">
      <c r="A10" s="495" t="s">
        <v>61</v>
      </c>
      <c r="B10" s="496">
        <v>40</v>
      </c>
      <c r="C10" s="7"/>
      <c r="D10" s="7"/>
      <c r="E10" s="7"/>
      <c r="F10" s="7"/>
      <c r="G10" s="7">
        <f>B10</f>
        <v>40</v>
      </c>
      <c r="H10" s="7"/>
      <c r="I10" s="7"/>
      <c r="J10" s="8"/>
      <c r="K10" s="274"/>
    </row>
    <row r="11" spans="1:11" ht="20.25" x14ac:dyDescent="0.25">
      <c r="A11" s="495" t="s">
        <v>89</v>
      </c>
      <c r="B11" s="496">
        <v>40</v>
      </c>
      <c r="C11" s="7">
        <f>B11</f>
        <v>40</v>
      </c>
      <c r="D11" s="7"/>
      <c r="E11" s="7"/>
      <c r="F11" s="7"/>
      <c r="G11" s="7"/>
      <c r="H11" s="7"/>
      <c r="I11" s="7"/>
      <c r="J11" s="8"/>
      <c r="K11" s="274"/>
    </row>
    <row r="12" spans="1:11" ht="20.25" x14ac:dyDescent="0.25">
      <c r="A12" s="495" t="s">
        <v>91</v>
      </c>
      <c r="B12" s="496">
        <v>50</v>
      </c>
      <c r="C12" s="7"/>
      <c r="D12" s="7"/>
      <c r="E12" s="7">
        <f>B12</f>
        <v>50</v>
      </c>
      <c r="F12" s="7"/>
      <c r="G12" s="7"/>
      <c r="H12" s="7"/>
      <c r="I12" s="7"/>
      <c r="J12" s="8"/>
      <c r="K12" s="274"/>
    </row>
    <row r="13" spans="1:11" ht="20.25" x14ac:dyDescent="0.25">
      <c r="A13" s="495" t="s">
        <v>334</v>
      </c>
      <c r="B13" s="496">
        <v>40</v>
      </c>
      <c r="C13" s="7"/>
      <c r="D13" s="7">
        <f>B13</f>
        <v>40</v>
      </c>
      <c r="E13" s="7"/>
      <c r="F13" s="7"/>
      <c r="G13" s="7"/>
      <c r="H13" s="7"/>
      <c r="I13" s="7"/>
      <c r="J13" s="8"/>
      <c r="K13" s="274"/>
    </row>
    <row r="14" spans="1:11" ht="20.25" x14ac:dyDescent="0.25">
      <c r="A14" s="495" t="s">
        <v>335</v>
      </c>
      <c r="B14" s="496">
        <v>40</v>
      </c>
      <c r="C14" s="7">
        <f>B14</f>
        <v>40</v>
      </c>
      <c r="D14" s="7"/>
      <c r="E14" s="7"/>
      <c r="F14" s="7"/>
      <c r="G14" s="7"/>
      <c r="H14" s="7"/>
      <c r="I14" s="7"/>
      <c r="J14" s="8"/>
      <c r="K14" s="274"/>
    </row>
    <row r="15" spans="1:11" ht="20.25" x14ac:dyDescent="0.25">
      <c r="A15" s="495" t="s">
        <v>336</v>
      </c>
      <c r="B15" s="496">
        <v>20</v>
      </c>
      <c r="C15" s="7"/>
      <c r="D15" s="7">
        <f>B15</f>
        <v>20</v>
      </c>
      <c r="E15" s="7"/>
      <c r="F15" s="7"/>
      <c r="G15" s="7"/>
      <c r="H15" s="7"/>
      <c r="I15" s="7"/>
      <c r="J15" s="8"/>
      <c r="K15" s="274"/>
    </row>
    <row r="16" spans="1:11" ht="20.25" x14ac:dyDescent="0.25">
      <c r="A16" s="495" t="s">
        <v>64</v>
      </c>
      <c r="B16" s="496">
        <v>50</v>
      </c>
      <c r="C16" s="7"/>
      <c r="D16" s="7"/>
      <c r="E16" s="7"/>
      <c r="F16" s="7"/>
      <c r="G16" s="7"/>
      <c r="H16" s="7">
        <f>B16</f>
        <v>50</v>
      </c>
      <c r="I16" s="7"/>
      <c r="J16" s="8"/>
      <c r="K16" s="274"/>
    </row>
    <row r="17" spans="1:11" ht="20.25" x14ac:dyDescent="0.25">
      <c r="A17" s="495" t="s">
        <v>340</v>
      </c>
      <c r="B17" s="496">
        <v>40</v>
      </c>
      <c r="C17" s="7"/>
      <c r="D17" s="7"/>
      <c r="E17" s="7"/>
      <c r="F17" s="7"/>
      <c r="G17" s="7"/>
      <c r="H17" s="7">
        <f>B17</f>
        <v>40</v>
      </c>
      <c r="I17" s="7"/>
      <c r="J17" s="8"/>
      <c r="K17" s="274"/>
    </row>
    <row r="18" spans="1:11" ht="20.25" x14ac:dyDescent="0.25">
      <c r="A18" s="495" t="s">
        <v>94</v>
      </c>
      <c r="B18" s="496">
        <v>40</v>
      </c>
      <c r="C18" s="7"/>
      <c r="D18" s="7"/>
      <c r="E18" s="7"/>
      <c r="F18" s="7"/>
      <c r="G18" s="7"/>
      <c r="H18" s="7"/>
      <c r="I18" s="7">
        <f>B18</f>
        <v>40</v>
      </c>
      <c r="J18" s="8"/>
      <c r="K18" s="274"/>
    </row>
    <row r="19" spans="1:11" ht="20.25" x14ac:dyDescent="0.25">
      <c r="A19" s="495" t="s">
        <v>92</v>
      </c>
      <c r="B19" s="496">
        <v>70</v>
      </c>
      <c r="C19" s="7"/>
      <c r="D19" s="7"/>
      <c r="E19" s="7">
        <f>B19</f>
        <v>70</v>
      </c>
      <c r="F19" s="7"/>
      <c r="G19" s="7"/>
      <c r="H19" s="7"/>
      <c r="I19" s="7"/>
      <c r="J19" s="8"/>
      <c r="K19" s="274"/>
    </row>
    <row r="20" spans="1:11" ht="20.25" x14ac:dyDescent="0.25">
      <c r="A20" s="495" t="s">
        <v>70</v>
      </c>
      <c r="B20" s="496">
        <v>60</v>
      </c>
      <c r="C20" s="7"/>
      <c r="D20" s="7"/>
      <c r="E20" s="7"/>
      <c r="F20" s="7"/>
      <c r="G20" s="7"/>
      <c r="H20" s="7"/>
      <c r="I20" s="7">
        <f>B20</f>
        <v>60</v>
      </c>
      <c r="J20" s="8"/>
      <c r="K20" s="274"/>
    </row>
    <row r="21" spans="1:11" ht="20.25" x14ac:dyDescent="0.25">
      <c r="A21" s="495" t="s">
        <v>73</v>
      </c>
      <c r="B21" s="496">
        <v>60</v>
      </c>
      <c r="C21" s="7"/>
      <c r="D21" s="7"/>
      <c r="E21" s="7"/>
      <c r="F21" s="7"/>
      <c r="G21" s="7"/>
      <c r="H21" s="7"/>
      <c r="I21" s="7">
        <f>B21</f>
        <v>60</v>
      </c>
      <c r="J21" s="8"/>
      <c r="K21" s="274"/>
    </row>
    <row r="22" spans="1:11" ht="20.25" x14ac:dyDescent="0.25">
      <c r="A22" s="495" t="s">
        <v>93</v>
      </c>
      <c r="B22" s="496">
        <v>70</v>
      </c>
      <c r="C22" s="7"/>
      <c r="D22" s="7"/>
      <c r="E22" s="7">
        <f>B22</f>
        <v>70</v>
      </c>
      <c r="F22" s="7"/>
      <c r="G22" s="7"/>
      <c r="H22" s="7"/>
      <c r="I22" s="7"/>
      <c r="J22" s="8"/>
      <c r="K22" s="274"/>
    </row>
    <row r="23" spans="1:11" ht="20.25" x14ac:dyDescent="0.25">
      <c r="A23" s="495" t="s">
        <v>49</v>
      </c>
      <c r="B23" s="496">
        <v>5</v>
      </c>
      <c r="C23" s="7"/>
      <c r="D23" s="7">
        <f>B23</f>
        <v>5</v>
      </c>
      <c r="E23" s="7"/>
      <c r="F23" s="7"/>
      <c r="G23" s="7"/>
      <c r="H23" s="7"/>
      <c r="I23" s="7"/>
      <c r="J23" s="8"/>
      <c r="K23" s="274"/>
    </row>
    <row r="24" spans="1:11" ht="21" x14ac:dyDescent="0.25">
      <c r="A24" s="495" t="s">
        <v>56</v>
      </c>
      <c r="B24" s="497">
        <v>40</v>
      </c>
      <c r="C24" s="9"/>
      <c r="D24" s="9"/>
      <c r="E24" s="9"/>
      <c r="F24" s="9">
        <f>B24</f>
        <v>40</v>
      </c>
      <c r="G24" s="9"/>
      <c r="H24" s="9"/>
      <c r="I24" s="9"/>
      <c r="J24" s="11"/>
      <c r="K24" s="274"/>
    </row>
    <row r="25" spans="1:11" x14ac:dyDescent="0.25">
      <c r="A25" s="14"/>
      <c r="E25" s="10"/>
    </row>
  </sheetData>
  <mergeCells count="3">
    <mergeCell ref="C2:I3"/>
    <mergeCell ref="B2:B4"/>
    <mergeCell ref="A2:A4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5"/>
  <sheetViews>
    <sheetView zoomScale="70" zoomScaleNormal="70" workbookViewId="0">
      <selection activeCell="K28" sqref="K28"/>
    </sheetView>
  </sheetViews>
  <sheetFormatPr defaultColWidth="8.7109375" defaultRowHeight="18" x14ac:dyDescent="0.25"/>
  <cols>
    <col min="1" max="1" width="4.28515625" style="6" customWidth="1"/>
    <col min="2" max="2" width="9.42578125" style="6" bestFit="1" customWidth="1"/>
    <col min="3" max="3" width="17" style="4" bestFit="1" customWidth="1"/>
    <col min="4" max="4" width="17.7109375" style="4" customWidth="1"/>
    <col min="5" max="5" width="45.85546875" style="4" bestFit="1" customWidth="1"/>
    <col min="6" max="6" width="19.85546875" style="4" bestFit="1" customWidth="1"/>
    <col min="7" max="7" width="17.7109375" style="4" customWidth="1"/>
    <col min="8" max="9" width="13" style="4" customWidth="1"/>
    <col min="10" max="10" width="13" style="5" customWidth="1"/>
    <col min="11" max="11" width="19.28515625" style="5" bestFit="1" customWidth="1"/>
    <col min="12" max="12" width="8.7109375" style="5"/>
    <col min="13" max="16384" width="8.7109375" style="6"/>
  </cols>
  <sheetData>
    <row r="1" spans="2:11" ht="18.75" thickBot="1" x14ac:dyDescent="0.3"/>
    <row r="2" spans="2:11" ht="18" customHeight="1" x14ac:dyDescent="0.25">
      <c r="B2" s="813" t="s">
        <v>25</v>
      </c>
      <c r="C2" s="816" t="s">
        <v>26</v>
      </c>
      <c r="D2" s="818" t="s">
        <v>27</v>
      </c>
      <c r="E2" s="821" t="s">
        <v>28</v>
      </c>
      <c r="F2" s="834" t="s">
        <v>30</v>
      </c>
      <c r="G2" s="837" t="s">
        <v>471</v>
      </c>
      <c r="H2" s="420">
        <v>0.4</v>
      </c>
      <c r="I2" s="421">
        <v>1</v>
      </c>
      <c r="J2" s="421">
        <v>0.4</v>
      </c>
      <c r="K2" s="831" t="s">
        <v>35</v>
      </c>
    </row>
    <row r="3" spans="2:11" ht="15.75" x14ac:dyDescent="0.25">
      <c r="B3" s="814"/>
      <c r="C3" s="817"/>
      <c r="D3" s="819"/>
      <c r="E3" s="822"/>
      <c r="F3" s="835"/>
      <c r="G3" s="838"/>
      <c r="H3" s="829" t="s">
        <v>32</v>
      </c>
      <c r="I3" s="827" t="s">
        <v>33</v>
      </c>
      <c r="J3" s="827" t="s">
        <v>34</v>
      </c>
      <c r="K3" s="832"/>
    </row>
    <row r="4" spans="2:11" ht="16.5" thickBot="1" x14ac:dyDescent="0.3">
      <c r="B4" s="815"/>
      <c r="C4" s="817"/>
      <c r="D4" s="820"/>
      <c r="E4" s="823"/>
      <c r="F4" s="836"/>
      <c r="G4" s="839"/>
      <c r="H4" s="830"/>
      <c r="I4" s="828"/>
      <c r="J4" s="828"/>
      <c r="K4" s="833"/>
    </row>
    <row r="5" spans="2:11" ht="22.5" customHeight="1" x14ac:dyDescent="0.25">
      <c r="B5" s="824">
        <v>1</v>
      </c>
      <c r="C5" s="410" t="s">
        <v>95</v>
      </c>
      <c r="D5" s="411" t="s">
        <v>37</v>
      </c>
      <c r="E5" s="393" t="s">
        <v>88</v>
      </c>
      <c r="F5" s="412">
        <v>402</v>
      </c>
      <c r="G5" s="414">
        <v>1924.1399999999999</v>
      </c>
      <c r="H5" s="422">
        <f t="shared" ref="H5:H24" si="0">$H$2*G5</f>
        <v>769.65599999999995</v>
      </c>
      <c r="I5" s="423">
        <f t="shared" ref="I5:I24" si="1">$I$2*G5</f>
        <v>1924.1399999999999</v>
      </c>
      <c r="J5" s="423">
        <f t="shared" ref="J5:J24" si="2">$J$2*G5</f>
        <v>769.65599999999995</v>
      </c>
      <c r="K5" s="424">
        <f>ROUNDUP(F5/2*0.3,0)</f>
        <v>61</v>
      </c>
    </row>
    <row r="6" spans="2:11" ht="22.5" customHeight="1" x14ac:dyDescent="0.25">
      <c r="B6" s="825"/>
      <c r="C6" s="378" t="s">
        <v>77</v>
      </c>
      <c r="D6" s="379" t="s">
        <v>38</v>
      </c>
      <c r="E6" s="394" t="s">
        <v>89</v>
      </c>
      <c r="F6" s="380">
        <v>401.6</v>
      </c>
      <c r="G6" s="415">
        <v>1759.16</v>
      </c>
      <c r="H6" s="425">
        <f t="shared" si="0"/>
        <v>703.6640000000001</v>
      </c>
      <c r="I6" s="426">
        <f t="shared" si="1"/>
        <v>1759.16</v>
      </c>
      <c r="J6" s="426">
        <f t="shared" si="2"/>
        <v>703.6640000000001</v>
      </c>
      <c r="K6" s="427">
        <f t="shared" ref="K6:K24" si="3">ROUNDUP(F6/2*0.3,0)</f>
        <v>61</v>
      </c>
    </row>
    <row r="7" spans="2:11" ht="22.5" customHeight="1" thickBot="1" x14ac:dyDescent="0.3">
      <c r="B7" s="826"/>
      <c r="C7" s="381" t="s">
        <v>36</v>
      </c>
      <c r="D7" s="382" t="s">
        <v>38</v>
      </c>
      <c r="E7" s="395" t="s">
        <v>39</v>
      </c>
      <c r="F7" s="383">
        <v>321.60000000000002</v>
      </c>
      <c r="G7" s="416">
        <v>724.11</v>
      </c>
      <c r="H7" s="428">
        <f t="shared" si="0"/>
        <v>289.64400000000001</v>
      </c>
      <c r="I7" s="429">
        <f t="shared" si="1"/>
        <v>724.11</v>
      </c>
      <c r="J7" s="429">
        <f t="shared" si="2"/>
        <v>289.64400000000001</v>
      </c>
      <c r="K7" s="430">
        <f t="shared" si="3"/>
        <v>49</v>
      </c>
    </row>
    <row r="8" spans="2:11" ht="22.5" customHeight="1" x14ac:dyDescent="0.25">
      <c r="B8" s="811">
        <v>2</v>
      </c>
      <c r="C8" s="403" t="s">
        <v>96</v>
      </c>
      <c r="D8" s="404" t="s">
        <v>37</v>
      </c>
      <c r="E8" s="405" t="s">
        <v>90</v>
      </c>
      <c r="F8" s="406">
        <v>179.9</v>
      </c>
      <c r="G8" s="417">
        <v>827.01</v>
      </c>
      <c r="H8" s="431">
        <f t="shared" si="0"/>
        <v>330.80400000000003</v>
      </c>
      <c r="I8" s="432">
        <f t="shared" si="1"/>
        <v>827.01</v>
      </c>
      <c r="J8" s="432">
        <f t="shared" si="2"/>
        <v>330.80400000000003</v>
      </c>
      <c r="K8" s="433">
        <f t="shared" si="3"/>
        <v>27</v>
      </c>
    </row>
    <row r="9" spans="2:11" ht="22.5" customHeight="1" x14ac:dyDescent="0.25">
      <c r="B9" s="811"/>
      <c r="C9" s="384" t="s">
        <v>41</v>
      </c>
      <c r="D9" s="379" t="s">
        <v>37</v>
      </c>
      <c r="E9" s="394" t="s">
        <v>42</v>
      </c>
      <c r="F9" s="380">
        <v>142.5</v>
      </c>
      <c r="G9" s="418">
        <v>459.9</v>
      </c>
      <c r="H9" s="425">
        <f t="shared" si="0"/>
        <v>183.96</v>
      </c>
      <c r="I9" s="426">
        <f t="shared" si="1"/>
        <v>459.9</v>
      </c>
      <c r="J9" s="426">
        <f t="shared" si="2"/>
        <v>183.96</v>
      </c>
      <c r="K9" s="427">
        <f t="shared" si="3"/>
        <v>22</v>
      </c>
    </row>
    <row r="10" spans="2:11" ht="22.5" customHeight="1" x14ac:dyDescent="0.25">
      <c r="B10" s="811"/>
      <c r="C10" s="384" t="s">
        <v>41</v>
      </c>
      <c r="D10" s="379" t="s">
        <v>38</v>
      </c>
      <c r="E10" s="394" t="s">
        <v>44</v>
      </c>
      <c r="F10" s="380">
        <v>320.10000000000002</v>
      </c>
      <c r="G10" s="418">
        <v>528.69000000000005</v>
      </c>
      <c r="H10" s="425">
        <f t="shared" si="0"/>
        <v>211.47600000000003</v>
      </c>
      <c r="I10" s="426">
        <f t="shared" si="1"/>
        <v>528.69000000000005</v>
      </c>
      <c r="J10" s="426">
        <f t="shared" si="2"/>
        <v>211.47600000000003</v>
      </c>
      <c r="K10" s="427">
        <f t="shared" si="3"/>
        <v>49</v>
      </c>
    </row>
    <row r="11" spans="2:11" ht="22.5" customHeight="1" x14ac:dyDescent="0.25">
      <c r="B11" s="811"/>
      <c r="C11" s="384" t="s">
        <v>41</v>
      </c>
      <c r="D11" s="379" t="s">
        <v>38</v>
      </c>
      <c r="E11" s="394" t="s">
        <v>46</v>
      </c>
      <c r="F11" s="380">
        <v>200.4</v>
      </c>
      <c r="G11" s="418">
        <v>472.3</v>
      </c>
      <c r="H11" s="425">
        <f t="shared" si="0"/>
        <v>188.92000000000002</v>
      </c>
      <c r="I11" s="426">
        <f t="shared" si="1"/>
        <v>472.3</v>
      </c>
      <c r="J11" s="426">
        <f t="shared" si="2"/>
        <v>188.92000000000002</v>
      </c>
      <c r="K11" s="427">
        <f t="shared" si="3"/>
        <v>31</v>
      </c>
    </row>
    <row r="12" spans="2:11" ht="22.5" customHeight="1" thickBot="1" x14ac:dyDescent="0.3">
      <c r="B12" s="811"/>
      <c r="C12" s="396" t="s">
        <v>41</v>
      </c>
      <c r="D12" s="397" t="s">
        <v>48</v>
      </c>
      <c r="E12" s="398" t="s">
        <v>49</v>
      </c>
      <c r="F12" s="399">
        <v>13.2</v>
      </c>
      <c r="G12" s="419">
        <v>198.49</v>
      </c>
      <c r="H12" s="434">
        <f t="shared" si="0"/>
        <v>79.396000000000015</v>
      </c>
      <c r="I12" s="435">
        <f t="shared" si="1"/>
        <v>198.49</v>
      </c>
      <c r="J12" s="435">
        <f t="shared" si="2"/>
        <v>79.396000000000015</v>
      </c>
      <c r="K12" s="436">
        <f t="shared" si="3"/>
        <v>2</v>
      </c>
    </row>
    <row r="13" spans="2:11" ht="22.5" customHeight="1" x14ac:dyDescent="0.25">
      <c r="B13" s="810">
        <v>3</v>
      </c>
      <c r="C13" s="413" t="s">
        <v>78</v>
      </c>
      <c r="D13" s="411" t="s">
        <v>38</v>
      </c>
      <c r="E13" s="393" t="s">
        <v>91</v>
      </c>
      <c r="F13" s="412">
        <v>562.1</v>
      </c>
      <c r="G13" s="414">
        <v>2640.59</v>
      </c>
      <c r="H13" s="422">
        <f t="shared" si="0"/>
        <v>1056.2360000000001</v>
      </c>
      <c r="I13" s="423">
        <f t="shared" si="1"/>
        <v>2640.59</v>
      </c>
      <c r="J13" s="423">
        <f t="shared" si="2"/>
        <v>1056.2360000000001</v>
      </c>
      <c r="K13" s="424">
        <f t="shared" si="3"/>
        <v>85</v>
      </c>
    </row>
    <row r="14" spans="2:11" ht="22.5" customHeight="1" x14ac:dyDescent="0.25">
      <c r="B14" s="811"/>
      <c r="C14" s="384" t="s">
        <v>79</v>
      </c>
      <c r="D14" s="379" t="s">
        <v>48</v>
      </c>
      <c r="E14" s="394" t="s">
        <v>92</v>
      </c>
      <c r="F14" s="380">
        <v>1176.5</v>
      </c>
      <c r="G14" s="415">
        <v>3802.02</v>
      </c>
      <c r="H14" s="425">
        <f t="shared" si="0"/>
        <v>1520.808</v>
      </c>
      <c r="I14" s="426">
        <f t="shared" si="1"/>
        <v>3802.02</v>
      </c>
      <c r="J14" s="426">
        <f t="shared" si="2"/>
        <v>1520.808</v>
      </c>
      <c r="K14" s="427">
        <f t="shared" si="3"/>
        <v>177</v>
      </c>
    </row>
    <row r="15" spans="2:11" ht="22.5" customHeight="1" thickBot="1" x14ac:dyDescent="0.3">
      <c r="B15" s="812"/>
      <c r="C15" s="385" t="s">
        <v>79</v>
      </c>
      <c r="D15" s="382" t="s">
        <v>48</v>
      </c>
      <c r="E15" s="395" t="s">
        <v>93</v>
      </c>
      <c r="F15" s="383">
        <v>936.8</v>
      </c>
      <c r="G15" s="416">
        <v>2907.33</v>
      </c>
      <c r="H15" s="428">
        <f t="shared" si="0"/>
        <v>1162.932</v>
      </c>
      <c r="I15" s="429">
        <f t="shared" si="1"/>
        <v>2907.33</v>
      </c>
      <c r="J15" s="429">
        <f t="shared" si="2"/>
        <v>1162.932</v>
      </c>
      <c r="K15" s="430">
        <f t="shared" si="3"/>
        <v>141</v>
      </c>
    </row>
    <row r="16" spans="2:11" ht="22.5" customHeight="1" x14ac:dyDescent="0.25">
      <c r="B16" s="811">
        <v>4</v>
      </c>
      <c r="C16" s="403" t="s">
        <v>51</v>
      </c>
      <c r="D16" s="404" t="s">
        <v>37</v>
      </c>
      <c r="E16" s="405" t="s">
        <v>53</v>
      </c>
      <c r="F16" s="406">
        <v>457.3</v>
      </c>
      <c r="G16" s="417">
        <v>1095.72</v>
      </c>
      <c r="H16" s="431">
        <f t="shared" si="0"/>
        <v>438.28800000000001</v>
      </c>
      <c r="I16" s="432">
        <f t="shared" si="1"/>
        <v>1095.72</v>
      </c>
      <c r="J16" s="432">
        <f t="shared" si="2"/>
        <v>438.28800000000001</v>
      </c>
      <c r="K16" s="433">
        <f t="shared" si="3"/>
        <v>69</v>
      </c>
    </row>
    <row r="17" spans="2:11" ht="22.5" customHeight="1" thickBot="1" x14ac:dyDescent="0.3">
      <c r="B17" s="811"/>
      <c r="C17" s="400" t="s">
        <v>51</v>
      </c>
      <c r="D17" s="401" t="s">
        <v>55</v>
      </c>
      <c r="E17" s="402" t="s">
        <v>56</v>
      </c>
      <c r="F17" s="399">
        <v>473.4</v>
      </c>
      <c r="G17" s="419">
        <v>1502.5</v>
      </c>
      <c r="H17" s="434">
        <f t="shared" si="0"/>
        <v>601</v>
      </c>
      <c r="I17" s="435">
        <f t="shared" si="1"/>
        <v>1502.5</v>
      </c>
      <c r="J17" s="435">
        <f t="shared" si="2"/>
        <v>601</v>
      </c>
      <c r="K17" s="436">
        <f t="shared" si="3"/>
        <v>72</v>
      </c>
    </row>
    <row r="18" spans="2:11" ht="22.5" customHeight="1" x14ac:dyDescent="0.25">
      <c r="B18" s="810">
        <v>5</v>
      </c>
      <c r="C18" s="413" t="s">
        <v>58</v>
      </c>
      <c r="D18" s="411" t="s">
        <v>38</v>
      </c>
      <c r="E18" s="393" t="s">
        <v>59</v>
      </c>
      <c r="F18" s="412">
        <v>412.7</v>
      </c>
      <c r="G18" s="414">
        <v>923.76</v>
      </c>
      <c r="H18" s="422">
        <f t="shared" si="0"/>
        <v>369.50400000000002</v>
      </c>
      <c r="I18" s="423">
        <f t="shared" si="1"/>
        <v>923.76</v>
      </c>
      <c r="J18" s="423">
        <f t="shared" si="2"/>
        <v>369.50400000000002</v>
      </c>
      <c r="K18" s="424">
        <f t="shared" si="3"/>
        <v>62</v>
      </c>
    </row>
    <row r="19" spans="2:11" ht="22.5" customHeight="1" thickBot="1" x14ac:dyDescent="0.3">
      <c r="B19" s="812"/>
      <c r="C19" s="385" t="s">
        <v>58</v>
      </c>
      <c r="D19" s="382" t="s">
        <v>38</v>
      </c>
      <c r="E19" s="395" t="s">
        <v>61</v>
      </c>
      <c r="F19" s="383">
        <v>405.9</v>
      </c>
      <c r="G19" s="416">
        <v>1874.94</v>
      </c>
      <c r="H19" s="428">
        <f t="shared" si="0"/>
        <v>749.97600000000011</v>
      </c>
      <c r="I19" s="429">
        <f t="shared" si="1"/>
        <v>1874.94</v>
      </c>
      <c r="J19" s="429">
        <f t="shared" si="2"/>
        <v>749.97600000000011</v>
      </c>
      <c r="K19" s="430">
        <f t="shared" si="3"/>
        <v>61</v>
      </c>
    </row>
    <row r="20" spans="2:11" ht="22.5" customHeight="1" x14ac:dyDescent="0.25">
      <c r="B20" s="811">
        <v>6</v>
      </c>
      <c r="C20" s="407" t="s">
        <v>63</v>
      </c>
      <c r="D20" s="408" t="s">
        <v>38</v>
      </c>
      <c r="E20" s="409" t="s">
        <v>64</v>
      </c>
      <c r="F20" s="406">
        <v>680.6</v>
      </c>
      <c r="G20" s="417">
        <v>1203.94</v>
      </c>
      <c r="H20" s="431">
        <f t="shared" si="0"/>
        <v>481.57600000000002</v>
      </c>
      <c r="I20" s="432">
        <f t="shared" si="1"/>
        <v>1203.94</v>
      </c>
      <c r="J20" s="432">
        <f t="shared" si="2"/>
        <v>481.57600000000002</v>
      </c>
      <c r="K20" s="433">
        <f t="shared" si="3"/>
        <v>103</v>
      </c>
    </row>
    <row r="21" spans="2:11" ht="22.5" customHeight="1" thickBot="1" x14ac:dyDescent="0.3">
      <c r="B21" s="811"/>
      <c r="C21" s="400" t="s">
        <v>66</v>
      </c>
      <c r="D21" s="401" t="s">
        <v>48</v>
      </c>
      <c r="E21" s="402" t="s">
        <v>67</v>
      </c>
      <c r="F21" s="399">
        <v>475.9</v>
      </c>
      <c r="G21" s="419">
        <v>1210.52</v>
      </c>
      <c r="H21" s="434">
        <f t="shared" si="0"/>
        <v>484.20800000000003</v>
      </c>
      <c r="I21" s="435">
        <f t="shared" si="1"/>
        <v>1210.52</v>
      </c>
      <c r="J21" s="435">
        <f t="shared" si="2"/>
        <v>484.20800000000003</v>
      </c>
      <c r="K21" s="436">
        <f t="shared" si="3"/>
        <v>72</v>
      </c>
    </row>
    <row r="22" spans="2:11" ht="22.5" customHeight="1" x14ac:dyDescent="0.25">
      <c r="B22" s="810">
        <v>7</v>
      </c>
      <c r="C22" s="413" t="s">
        <v>80</v>
      </c>
      <c r="D22" s="411" t="s">
        <v>48</v>
      </c>
      <c r="E22" s="393" t="s">
        <v>94</v>
      </c>
      <c r="F22" s="412">
        <v>436.6</v>
      </c>
      <c r="G22" s="414">
        <v>944.29</v>
      </c>
      <c r="H22" s="422">
        <f t="shared" si="0"/>
        <v>377.71600000000001</v>
      </c>
      <c r="I22" s="423">
        <f t="shared" si="1"/>
        <v>944.29</v>
      </c>
      <c r="J22" s="423">
        <f t="shared" si="2"/>
        <v>377.71600000000001</v>
      </c>
      <c r="K22" s="424">
        <f t="shared" si="3"/>
        <v>66</v>
      </c>
    </row>
    <row r="23" spans="2:11" ht="22.5" customHeight="1" x14ac:dyDescent="0.25">
      <c r="B23" s="811"/>
      <c r="C23" s="384" t="s">
        <v>69</v>
      </c>
      <c r="D23" s="379" t="s">
        <v>48</v>
      </c>
      <c r="E23" s="394" t="s">
        <v>70</v>
      </c>
      <c r="F23" s="380">
        <v>847.2</v>
      </c>
      <c r="G23" s="415">
        <v>2167.92</v>
      </c>
      <c r="H23" s="425">
        <f t="shared" si="0"/>
        <v>867.16800000000012</v>
      </c>
      <c r="I23" s="426">
        <f t="shared" si="1"/>
        <v>2167.92</v>
      </c>
      <c r="J23" s="426">
        <f t="shared" si="2"/>
        <v>867.16800000000012</v>
      </c>
      <c r="K23" s="427">
        <f t="shared" si="3"/>
        <v>128</v>
      </c>
    </row>
    <row r="24" spans="2:11" ht="22.5" customHeight="1" thickBot="1" x14ac:dyDescent="0.3">
      <c r="B24" s="812"/>
      <c r="C24" s="385" t="s">
        <v>72</v>
      </c>
      <c r="D24" s="382" t="s">
        <v>48</v>
      </c>
      <c r="E24" s="395" t="s">
        <v>73</v>
      </c>
      <c r="F24" s="383">
        <v>850.9</v>
      </c>
      <c r="G24" s="416">
        <v>2275.3199999999997</v>
      </c>
      <c r="H24" s="428">
        <f t="shared" si="0"/>
        <v>910.12799999999993</v>
      </c>
      <c r="I24" s="429">
        <f t="shared" si="1"/>
        <v>2275.3199999999997</v>
      </c>
      <c r="J24" s="429">
        <f t="shared" si="2"/>
        <v>910.12799999999993</v>
      </c>
      <c r="K24" s="430">
        <f t="shared" si="3"/>
        <v>128</v>
      </c>
    </row>
    <row r="25" spans="2:11" x14ac:dyDescent="0.25">
      <c r="G25" s="392"/>
    </row>
  </sheetData>
  <mergeCells count="17">
    <mergeCell ref="J3:J4"/>
    <mergeCell ref="I3:I4"/>
    <mergeCell ref="H3:H4"/>
    <mergeCell ref="K2:K4"/>
    <mergeCell ref="F2:F4"/>
    <mergeCell ref="G2:G4"/>
    <mergeCell ref="B22:B24"/>
    <mergeCell ref="B2:B4"/>
    <mergeCell ref="C2:C4"/>
    <mergeCell ref="D2:D4"/>
    <mergeCell ref="E2:E4"/>
    <mergeCell ref="B5:B7"/>
    <mergeCell ref="B8:B12"/>
    <mergeCell ref="B13:B15"/>
    <mergeCell ref="B16:B17"/>
    <mergeCell ref="B18:B19"/>
    <mergeCell ref="B20:B21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P153"/>
  <sheetViews>
    <sheetView showGridLines="0" zoomScale="85" zoomScaleNormal="85" zoomScaleSheetLayoutView="85" zoomScalePageLayoutView="85" workbookViewId="0">
      <pane ySplit="1" topLeftCell="A134" activePane="bottomLeft" state="frozen"/>
      <selection activeCell="A69" sqref="A69:B69"/>
      <selection pane="bottomLeft" activeCell="F145" sqref="F145:F150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649" t="s">
        <v>382</v>
      </c>
      <c r="B1" s="650"/>
      <c r="C1" s="651" t="str">
        <f>'Custo Gerencial LOTE 01'!C2:E2</f>
        <v>BR-116/RJ/SP (NOVA DUTRA)
BR-116/SP/PR (RÉGIS BITTENCOURT)
BR-153/SP (TRANSBRASILIANA)</v>
      </c>
      <c r="D1" s="651"/>
      <c r="E1" s="651"/>
      <c r="F1" s="275">
        <f>'Custo Gerencial LOTE 01'!C3</f>
        <v>1125.2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281" t="s">
        <v>247</v>
      </c>
      <c r="B3" s="647" t="s">
        <v>384</v>
      </c>
      <c r="C3" s="647"/>
      <c r="D3" s="647"/>
      <c r="E3" s="647"/>
      <c r="F3" s="648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1285380.1727915213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33714.592639999995</v>
      </c>
      <c r="J6" s="285"/>
      <c r="K6" s="285"/>
      <c r="L6" s="285"/>
      <c r="M6" s="290">
        <f>N6*O6</f>
        <v>176</v>
      </c>
      <c r="N6" s="285">
        <v>22</v>
      </c>
      <c r="O6" s="290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($H$7*$F$1)/$K$2</f>
        <v>247.54400000000001</v>
      </c>
      <c r="E7" s="63">
        <f>'Planilha base'!$F$14/176</f>
        <v>76.31948863636363</v>
      </c>
      <c r="F7" s="50">
        <f>D7*E7</f>
        <v>18892.431495000001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($H$7*$F$1)/$K$2</f>
        <v>247.54400000000001</v>
      </c>
      <c r="E8" s="63">
        <f>'Planilha base'!$F$16/176</f>
        <v>49.121022727272724</v>
      </c>
      <c r="F8" s="50">
        <f>D8*E8</f>
        <v>12159.614449999999</v>
      </c>
      <c r="L8" s="295"/>
      <c r="M8" s="296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($H$7*$F$1)/$K$2</f>
        <v>247.54400000000001</v>
      </c>
      <c r="E9" s="63">
        <f>'Planilha base'!$F$27/176</f>
        <v>10.755852272727273</v>
      </c>
      <c r="F9" s="50">
        <f>D9*E9</f>
        <v>2662.546695</v>
      </c>
      <c r="L9" s="160"/>
    </row>
    <row r="10" spans="1:15" ht="19.899999999999999" customHeight="1" x14ac:dyDescent="0.2">
      <c r="A10" s="291"/>
      <c r="B10" s="55"/>
      <c r="C10" s="53"/>
      <c r="D10" s="297"/>
      <c r="E10" s="63"/>
      <c r="F10" s="50"/>
      <c r="O10" s="298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38448.121446655998</v>
      </c>
      <c r="M11" s="300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33714.592639999995</v>
      </c>
      <c r="E12" s="301">
        <v>0.84040000000000004</v>
      </c>
      <c r="F12" s="50">
        <f>D12*E12</f>
        <v>28333.743654655998</v>
      </c>
      <c r="M12" s="302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33714.592639999995</v>
      </c>
      <c r="E13" s="301">
        <v>0.3</v>
      </c>
      <c r="F13" s="50">
        <f>D13*E13</f>
        <v>10114.377791999997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869633.08000000007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Rolamento'!H5:H7)</f>
        <v>1762.9640000000002</v>
      </c>
      <c r="E16" s="63">
        <f>'Cotações FWD,IRI,LVC e Mancha'!AT19</f>
        <v>238</v>
      </c>
      <c r="F16" s="50">
        <f>D16*E16</f>
        <v>419585.43200000003</v>
      </c>
    </row>
    <row r="17" spans="1:1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Rolamento'!I5:I7)</f>
        <v>4407.41</v>
      </c>
      <c r="E17" s="63">
        <f>'Cotações FWD,IRI,LVC e Mancha'!AU19</f>
        <v>64</v>
      </c>
      <c r="F17" s="50">
        <f>D17*E17</f>
        <v>282074.23999999999</v>
      </c>
    </row>
    <row r="18" spans="1:1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Rolamento'!J5:J7)</f>
        <v>1762.9640000000002</v>
      </c>
      <c r="E18" s="63">
        <f>'Cotações FWD,IRI,LVC e Mancha'!AV19</f>
        <v>72</v>
      </c>
      <c r="F18" s="50">
        <f>D18*E18</f>
        <v>126933.40800000001</v>
      </c>
    </row>
    <row r="19" spans="1:1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Rolamento'!K5:K7)</f>
        <v>171</v>
      </c>
      <c r="E19" s="63">
        <f>'Cotações FWD,IRI,LVC e Mancha'!AW19</f>
        <v>240</v>
      </c>
      <c r="F19" s="50">
        <f>D19*E19</f>
        <v>41040</v>
      </c>
    </row>
    <row r="20" spans="1:16" ht="19.899999999999999" customHeight="1" x14ac:dyDescent="0.2">
      <c r="A20" s="291"/>
      <c r="B20" s="55"/>
      <c r="C20" s="53"/>
      <c r="D20" s="297"/>
      <c r="E20" s="63"/>
      <c r="F20" s="50"/>
    </row>
    <row r="21" spans="1:1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288325.13158486522</v>
      </c>
    </row>
    <row r="22" spans="1:1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941795.79408665607</v>
      </c>
      <c r="E22" s="301">
        <v>0.12</v>
      </c>
      <c r="F22" s="50">
        <f>D22*E22</f>
        <v>113015.49529039873</v>
      </c>
    </row>
    <row r="23" spans="1:1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1054811.2893770549</v>
      </c>
      <c r="E23" s="301">
        <v>0.16619999999999999</v>
      </c>
      <c r="F23" s="50">
        <f>D23*E23</f>
        <v>175309.6362944665</v>
      </c>
    </row>
    <row r="24" spans="1:1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1230120.9256715213</v>
      </c>
    </row>
    <row r="25" spans="1:1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1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742.63200000000006</v>
      </c>
      <c r="E26" s="308">
        <f>'Custo Gerencial LOTE 01'!$G$81</f>
        <v>74.41</v>
      </c>
      <c r="F26" s="309">
        <f>D26*E26</f>
        <v>55259.24712</v>
      </c>
    </row>
    <row r="27" spans="1:1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1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1285380.1727915213</v>
      </c>
      <c r="F28" s="315">
        <f>E28*D28</f>
        <v>1285380.1727915213</v>
      </c>
      <c r="J28" s="316"/>
      <c r="K28" s="316"/>
      <c r="L28" s="316"/>
      <c r="M28" s="316"/>
      <c r="N28" s="316"/>
      <c r="O28" s="316"/>
      <c r="P28" s="316"/>
    </row>
    <row r="29" spans="1:16" ht="19.899999999999999" customHeight="1" thickBot="1" x14ac:dyDescent="0.25">
      <c r="A29" s="317"/>
      <c r="B29" s="317"/>
      <c r="C29" s="317"/>
      <c r="D29" s="317"/>
      <c r="E29" s="317"/>
      <c r="F29" s="317"/>
      <c r="J29" s="318"/>
      <c r="K29" s="318"/>
      <c r="L29" s="318"/>
      <c r="M29" s="318"/>
      <c r="N29" s="318"/>
      <c r="O29" s="318"/>
      <c r="P29" s="318"/>
    </row>
    <row r="30" spans="1:16" ht="19.899999999999999" customHeight="1" x14ac:dyDescent="0.2">
      <c r="A30" s="281" t="s">
        <v>249</v>
      </c>
      <c r="B30" s="647" t="s">
        <v>420</v>
      </c>
      <c r="C30" s="647"/>
      <c r="D30" s="647"/>
      <c r="E30" s="647"/>
      <c r="F30" s="648"/>
    </row>
    <row r="31" spans="1:1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1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173285.44999835704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11677.051971818182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135.024</v>
      </c>
      <c r="E34" s="69">
        <f>'Planilha base'!$F$15/176</f>
        <v>59.706590909090913</v>
      </c>
      <c r="F34" s="482">
        <f>D34*E34</f>
        <v>8061.8227309090917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135.024</v>
      </c>
      <c r="E35" s="69">
        <f>'Planilha base'!$F$22/176</f>
        <v>16.018863636363637</v>
      </c>
      <c r="F35" s="482">
        <f>D35*E35</f>
        <v>2162.9310436363639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135.024</v>
      </c>
      <c r="E36" s="63">
        <f>'Planilha base'!$F$27/176</f>
        <v>10.755852272727273</v>
      </c>
      <c r="F36" s="482">
        <f>D36*E36</f>
        <v>1452.2981972727273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13316.510068661455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11677.051971818182</v>
      </c>
      <c r="E39" s="301">
        <v>0.84040000000000004</v>
      </c>
      <c r="F39" s="482">
        <f>D39*E39</f>
        <v>9813.3944771160004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11677.051971818182</v>
      </c>
      <c r="E40" s="301">
        <v>0.3</v>
      </c>
      <c r="F40" s="482">
        <f>D40*E40</f>
        <v>3503.1155915454547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84599.287200000006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506.34000000000003</v>
      </c>
      <c r="E43" s="485">
        <f>'Cotações FWD,IRI,LVC e Mancha'!AV32</f>
        <v>167.08</v>
      </c>
      <c r="F43" s="482">
        <f>D43*E43</f>
        <v>84599.287200000006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33551.1932378774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109592.84924047964</v>
      </c>
      <c r="E46" s="301">
        <v>0.12</v>
      </c>
      <c r="F46" s="482">
        <f>D46*E46</f>
        <v>13151.141908857557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122743.99114933721</v>
      </c>
      <c r="E47" s="301">
        <v>0.16619999999999999</v>
      </c>
      <c r="F47" s="50">
        <f>D47*E47</f>
        <v>20400.051329019843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143144.04247835703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405.072</v>
      </c>
      <c r="E50" s="320">
        <f>'Custo Gerencial LOTE 01'!$G$81</f>
        <v>74.41</v>
      </c>
      <c r="F50" s="309">
        <f>D50*E50</f>
        <v>30141.407519999997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173285.44999835704</v>
      </c>
      <c r="F52" s="315">
        <f>E52*D52</f>
        <v>173285.44999835704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281" t="s">
        <v>419</v>
      </c>
      <c r="B54" s="647" t="s">
        <v>421</v>
      </c>
      <c r="C54" s="647"/>
      <c r="D54" s="647"/>
      <c r="E54" s="647"/>
      <c r="F54" s="648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121553.7629078226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8906.1848476721589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102.98393</v>
      </c>
      <c r="E58" s="69">
        <f>'Planilha base'!$F$15/176</f>
        <v>59.706590909090913</v>
      </c>
      <c r="F58" s="50">
        <f>D58*E58</f>
        <v>6148.8193787204546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102.98393</v>
      </c>
      <c r="E59" s="69">
        <f>'Planilha base'!$F$22/176</f>
        <v>16.018863636363637</v>
      </c>
      <c r="F59" s="50">
        <f>D59*E59</f>
        <v>1649.6855314068182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102.98393</v>
      </c>
      <c r="E60" s="63">
        <f>'Planilha base'!$F$27/176</f>
        <v>10.755852272727273</v>
      </c>
      <c r="F60" s="50">
        <f>D60*E60</f>
        <v>1107.6799375448863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10156.61320028533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8906.1848476721589</v>
      </c>
      <c r="E63" s="301">
        <v>0.84040000000000004</v>
      </c>
      <c r="F63" s="50">
        <f>D63*E63</f>
        <v>7484.757745983683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8906.1848476721589</v>
      </c>
      <c r="E64" s="301">
        <v>0.3</v>
      </c>
      <c r="F64" s="50">
        <f>D64*E64</f>
        <v>2671.8554543016476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56399.524800000007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337.56</v>
      </c>
      <c r="E67" s="485">
        <f>'Cotações FWD,IRI,LVC e Mancha'!AV33</f>
        <v>167.08</v>
      </c>
      <c r="F67" s="50">
        <f>D67*E67</f>
        <v>56399.524800000007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23102.337365965097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75462.32284795749</v>
      </c>
      <c r="E70" s="301">
        <v>0.12</v>
      </c>
      <c r="F70" s="50">
        <f>D70*E70</f>
        <v>9055.4787417548978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84517.801589712384</v>
      </c>
      <c r="E71" s="301">
        <v>0.16619999999999999</v>
      </c>
      <c r="F71" s="50">
        <f>D71*E71</f>
        <v>14046.858624210197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98564.660213922602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308.95179000000002</v>
      </c>
      <c r="E74" s="320">
        <f>'Custo Gerencial LOTE 01'!$G$81</f>
        <v>74.41</v>
      </c>
      <c r="F74" s="309">
        <f>D74*E74</f>
        <v>22989.1026939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121553.7629078226</v>
      </c>
      <c r="F76" s="315">
        <f>E76*D76</f>
        <v>121553.7629078226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281" t="s">
        <v>255</v>
      </c>
      <c r="B78" s="647" t="s">
        <v>422</v>
      </c>
      <c r="C78" s="647"/>
      <c r="D78" s="647"/>
      <c r="E78" s="647"/>
      <c r="F78" s="648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84933.229725826197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20400.682766801703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167.34537</v>
      </c>
      <c r="E82" s="63">
        <f>'Planilha base'!$F$14/176</f>
        <v>76.31948863636363</v>
      </c>
      <c r="F82" s="50">
        <f>D82*E82</f>
        <v>12771.713064063068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140.65</v>
      </c>
      <c r="E83" s="63">
        <f>'Planilha base'!$F$16/176</f>
        <v>49.121022727272724</v>
      </c>
      <c r="F83" s="50">
        <f>D83*E83</f>
        <v>6908.8718465909087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66.949400000000011</v>
      </c>
      <c r="E84" s="63">
        <f>'Planilha base'!$F$27/176</f>
        <v>10.755852272727273</v>
      </c>
      <c r="F84" s="50">
        <f>D84*E84</f>
        <v>720.09785614772738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23264.938627260664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20400.682766801703</v>
      </c>
      <c r="E87" s="301">
        <v>0.84040000000000004</v>
      </c>
      <c r="F87" s="50">
        <f>D87*E87</f>
        <v>17144.733797220153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20400.682766801703</v>
      </c>
      <c r="E88" s="301">
        <v>0.3</v>
      </c>
      <c r="F88" s="50">
        <f>D88*E88</f>
        <v>6120.2048300405104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13367.967996063831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43665.621394062371</v>
      </c>
      <c r="E91" s="301">
        <v>0.12</v>
      </c>
      <c r="F91" s="50">
        <f>D91*E91</f>
        <v>5239.8745672874848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48905.495961349858</v>
      </c>
      <c r="E92" s="301">
        <v>0.16619999999999999</v>
      </c>
      <c r="F92" s="50">
        <f>D92*E92</f>
        <v>8128.0934287763457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57033.589390126202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374.94477000000001</v>
      </c>
      <c r="E95" s="320">
        <f>'Custo Gerencial LOTE 01'!$G$81</f>
        <v>74.41</v>
      </c>
      <c r="F95" s="309">
        <f>D95*E95</f>
        <v>27899.640335699998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84933.229725826197</v>
      </c>
      <c r="F97" s="315">
        <f>E97*D97</f>
        <v>84933.229725826197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281" t="s">
        <v>258</v>
      </c>
      <c r="B99" s="647" t="s">
        <v>424</v>
      </c>
      <c r="C99" s="647"/>
      <c r="D99" s="647"/>
      <c r="E99" s="647"/>
      <c r="F99" s="648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75099.007939089483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16172.493582417614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167.34537</v>
      </c>
      <c r="E103" s="63">
        <f>'Planilha base'!$F$14/176</f>
        <v>76.31948863636363</v>
      </c>
      <c r="F103" s="50">
        <f>D103*E103</f>
        <v>12771.713064063068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167.34537</v>
      </c>
      <c r="E104" s="69">
        <f>'Planilha base'!$F$22/176</f>
        <v>16.018863636363637</v>
      </c>
      <c r="F104" s="50">
        <f>D104*E104</f>
        <v>2680.6826622068183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66.949400000000011</v>
      </c>
      <c r="E105" s="63">
        <f>'Planilha base'!$F$27/176</f>
        <v>10.755852272727273</v>
      </c>
      <c r="F105" s="50">
        <f>D105*E105</f>
        <v>720.09785614772738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18443.111681389048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16172.493582417614</v>
      </c>
      <c r="E108" s="301">
        <v>0.84040000000000004</v>
      </c>
      <c r="F108" s="50">
        <f>D108*E108</f>
        <v>13591.363606663763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16172.493582417614</v>
      </c>
      <c r="E109" s="301">
        <v>0.3</v>
      </c>
      <c r="F109" s="50">
        <f>D109*E109</f>
        <v>4851.7480747252839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10597.359857882826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34615.605263806661</v>
      </c>
      <c r="E112" s="301">
        <v>0.12</v>
      </c>
      <c r="F112" s="50">
        <f>D112*E112</f>
        <v>4153.8726316567991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38769.47789546346</v>
      </c>
      <c r="E113" s="301">
        <v>0.16619999999999999</v>
      </c>
      <c r="F113" s="50">
        <f>D113*E113</f>
        <v>6443.4872262260269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45212.965121689485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401.64014000000003</v>
      </c>
      <c r="E116" s="320">
        <f>'Custo Gerencial LOTE 01'!$G$81</f>
        <v>74.41</v>
      </c>
      <c r="F116" s="309">
        <f>D116*E116</f>
        <v>29886.042817400001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75099.007939089483</v>
      </c>
      <c r="F118" s="315">
        <f>E118*D118</f>
        <v>75099.007939089483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281" t="s">
        <v>261</v>
      </c>
      <c r="B120" s="647" t="s">
        <v>524</v>
      </c>
      <c r="C120" s="647"/>
      <c r="D120" s="647"/>
      <c r="E120" s="647"/>
      <c r="F120" s="648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309182.2274204868</v>
      </c>
      <c r="H122" s="328"/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64472.539434999999</v>
      </c>
    </row>
    <row r="124" spans="1:8" ht="19.899999999999999" customHeight="1" x14ac:dyDescent="0.2">
      <c r="A124" s="291" t="s">
        <v>121</v>
      </c>
      <c r="B124" s="55" t="s">
        <v>5</v>
      </c>
      <c r="C124" s="53" t="s">
        <v>397</v>
      </c>
      <c r="D124" s="480">
        <f>(H124*F1)/K2</f>
        <v>495.08800000000002</v>
      </c>
      <c r="E124" s="63">
        <f>'Planilha base'!$F$15/176</f>
        <v>59.706590909090913</v>
      </c>
      <c r="F124" s="50">
        <f>D124*E124</f>
        <v>29560.016680000004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495.08800000000002</v>
      </c>
      <c r="E125" s="63">
        <f>'Planilha base'!$F$16/176</f>
        <v>49.121022727272724</v>
      </c>
      <c r="F125" s="50">
        <f>D125*E125</f>
        <v>24319.228899999998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495.08800000000002</v>
      </c>
      <c r="E126" s="69">
        <f>'Planilha base'!$F$22/176</f>
        <v>16.018863636363637</v>
      </c>
      <c r="F126" s="50">
        <f>D126*E126</f>
        <v>7930.7471600000008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247.54400000000001</v>
      </c>
      <c r="E127" s="63">
        <f>'Planilha base'!$F$27/176</f>
        <v>10.755852272727273</v>
      </c>
      <c r="F127" s="50">
        <f>D127*E127</f>
        <v>2662.546695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73524.483971673995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64472.539434999999</v>
      </c>
      <c r="E130" s="301">
        <v>0.84040000000000004</v>
      </c>
      <c r="F130" s="50">
        <f>D130*E130</f>
        <v>54182.722141174003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64472.539434999999</v>
      </c>
      <c r="E131" s="301">
        <v>0.3</v>
      </c>
      <c r="F131" s="50">
        <f>D131*E131</f>
        <v>19341.7618305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42246.960733812797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137997.02340667398</v>
      </c>
      <c r="E134" s="301">
        <v>0.12</v>
      </c>
      <c r="F134" s="50">
        <f>D134*E134</f>
        <v>16559.642808800876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154556.66621547486</v>
      </c>
      <c r="E135" s="301">
        <v>0.16619999999999999</v>
      </c>
      <c r="F135" s="50">
        <f>D135*E135</f>
        <v>25687.317925011921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180243.98414048681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1732.8080000000002</v>
      </c>
      <c r="E138" s="320">
        <f>'Custo Gerencial LOTE 01'!$G$81</f>
        <v>74.41</v>
      </c>
      <c r="F138" s="309">
        <f>D138*E138</f>
        <v>128938.24328000001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309182.2274204868</v>
      </c>
      <c r="F140" s="315">
        <f>E140*D140</f>
        <v>3710186.7290458418</v>
      </c>
      <c r="G140" s="371"/>
      <c r="H140" s="372"/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427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52" t="s">
        <v>490</v>
      </c>
      <c r="F143" s="653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1285380.1727915213</v>
      </c>
      <c r="F145" s="94">
        <f t="shared" ref="F145:F150" si="0">ROUND(D145*E145,2)</f>
        <v>1285380.17</v>
      </c>
      <c r="I145" s="328"/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173285.44999835704</v>
      </c>
      <c r="F146" s="94">
        <f t="shared" si="0"/>
        <v>173285.45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121553.7629078226</v>
      </c>
      <c r="F147" s="94">
        <f t="shared" si="0"/>
        <v>121553.76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84933.229725826197</v>
      </c>
      <c r="F148" s="94">
        <f t="shared" si="0"/>
        <v>84933.23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75099.007939089483</v>
      </c>
      <c r="F149" s="94">
        <f t="shared" si="0"/>
        <v>75099.009999999995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309182.2274204868</v>
      </c>
      <c r="F150" s="389">
        <f t="shared" si="0"/>
        <v>3710186.73</v>
      </c>
      <c r="I150" s="391"/>
      <c r="J150" s="391"/>
      <c r="K150" s="391"/>
      <c r="L150" s="391"/>
    </row>
    <row r="151" spans="1:12" ht="19.899999999999999" customHeight="1" thickBot="1" x14ac:dyDescent="0.25">
      <c r="D151" s="390"/>
      <c r="E151" s="552" t="s">
        <v>195</v>
      </c>
      <c r="F151" s="553">
        <f>ROUND(SUM(F145:F150),2)</f>
        <v>5450438.3499999996</v>
      </c>
      <c r="I151" s="578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E143:F143"/>
    <mergeCell ref="D143:D144"/>
    <mergeCell ref="A143:A144"/>
    <mergeCell ref="B143:C144"/>
    <mergeCell ref="B120:F120"/>
    <mergeCell ref="A142:F142"/>
    <mergeCell ref="J3:O3"/>
    <mergeCell ref="B30:F30"/>
    <mergeCell ref="B54:F54"/>
    <mergeCell ref="B78:F78"/>
    <mergeCell ref="B99:F9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9" max="6" man="1"/>
    <brk id="53" max="6" man="1"/>
    <brk id="98" max="6" man="1"/>
    <brk id="119" max="6" man="1"/>
    <brk id="141" max="6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82"/>
  <sheetViews>
    <sheetView showGridLines="0" topLeftCell="A40" zoomScale="85" zoomScaleNormal="85" zoomScaleSheetLayoutView="85" zoomScalePageLayoutView="70" workbookViewId="0">
      <selection activeCell="E57" sqref="E57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9" width="9.5703125" style="364" customWidth="1"/>
    <col min="10" max="10" width="9.5703125" style="18" customWidth="1"/>
    <col min="11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28" t="s">
        <v>430</v>
      </c>
      <c r="B1" s="629"/>
      <c r="C1" s="629"/>
      <c r="D1" s="629"/>
      <c r="E1" s="629"/>
      <c r="F1" s="629"/>
      <c r="G1" s="630"/>
    </row>
    <row r="2" spans="1:10" ht="78.75" customHeight="1" thickBot="1" x14ac:dyDescent="0.3">
      <c r="A2" s="640" t="s">
        <v>431</v>
      </c>
      <c r="B2" s="641"/>
      <c r="C2" s="631" t="s">
        <v>434</v>
      </c>
      <c r="D2" s="632"/>
      <c r="E2" s="633"/>
      <c r="F2" s="634" t="s">
        <v>99</v>
      </c>
      <c r="G2" s="635"/>
      <c r="J2" s="19"/>
    </row>
    <row r="3" spans="1:10" ht="16.5" thickBot="1" x14ac:dyDescent="0.3">
      <c r="A3" s="642" t="s">
        <v>100</v>
      </c>
      <c r="B3" s="643"/>
      <c r="C3" s="638">
        <f>Resumo!G8+Resumo!G9+Resumo!G10+Resumo!G11+Resumo!G12</f>
        <v>856.1</v>
      </c>
      <c r="D3" s="638"/>
      <c r="E3" s="639"/>
      <c r="F3" s="636"/>
      <c r="G3" s="637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29" t="s">
        <v>101</v>
      </c>
      <c r="B6" s="30" t="s">
        <v>102</v>
      </c>
      <c r="C6" s="31" t="s">
        <v>103</v>
      </c>
      <c r="D6" s="31" t="s">
        <v>104</v>
      </c>
      <c r="E6" s="32" t="s">
        <v>105</v>
      </c>
      <c r="F6" s="32" t="s">
        <v>106</v>
      </c>
      <c r="G6" s="33" t="s">
        <v>107</v>
      </c>
      <c r="H6" s="34"/>
      <c r="I6" s="36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138087.07496186439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366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366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/>
      <c r="F14" s="63">
        <f>VLOOKUP(A14,'Planilha base'!$C$11:$F$27,4)</f>
        <v>13432.23</v>
      </c>
      <c r="G14" s="467">
        <f>E14*F14</f>
        <v>0</v>
      </c>
      <c r="I14" s="366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/>
      <c r="F15" s="63">
        <f>VLOOKUP(A15,'Planilha base'!$C$11:$F$27,4)</f>
        <v>10508.36</v>
      </c>
      <c r="G15" s="467">
        <f>E15*F15</f>
        <v>0</v>
      </c>
      <c r="I15" s="366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/>
      <c r="F16" s="63">
        <f>VLOOKUP(A16,'Planilha base'!$C$11:$F$27,4)</f>
        <v>8645.2999999999993</v>
      </c>
      <c r="G16" s="467">
        <f>E16*F16</f>
        <v>0</v>
      </c>
      <c r="I16" s="366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366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0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0</v>
      </c>
      <c r="F20" s="63">
        <f>VLOOKUP(A20,'Planilha base'!$C$11:$F$27,4)</f>
        <v>4644.72</v>
      </c>
      <c r="G20" s="467">
        <f>E20*F20</f>
        <v>0</v>
      </c>
      <c r="I20" s="366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366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366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366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366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366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27195.269743333338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32165.4</v>
      </c>
      <c r="F31" s="301">
        <v>0.84040000000000004</v>
      </c>
      <c r="G31" s="467">
        <f>E31*F31</f>
        <v>27031.802160000003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0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9894.8213749999995</v>
      </c>
      <c r="J33" s="46"/>
    </row>
    <row r="34" spans="1:10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32982.737916666665</v>
      </c>
      <c r="F34" s="301">
        <v>0.3</v>
      </c>
      <c r="G34" s="467">
        <f>E34*F34</f>
        <v>9894.8213749999995</v>
      </c>
      <c r="J34" s="46"/>
    </row>
    <row r="35" spans="1:10" x14ac:dyDescent="0.25">
      <c r="A35" s="37"/>
      <c r="B35" s="38"/>
      <c r="C35" s="39"/>
      <c r="D35" s="57"/>
      <c r="E35" s="44"/>
      <c r="F35" s="474"/>
      <c r="G35" s="469"/>
      <c r="J35" s="46"/>
    </row>
    <row r="36" spans="1:10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6234.54</v>
      </c>
      <c r="I36" s="367"/>
      <c r="J36" s="46"/>
    </row>
    <row r="37" spans="1:10" x14ac:dyDescent="0.25">
      <c r="A37" s="47"/>
      <c r="B37" s="48" t="s">
        <v>153</v>
      </c>
      <c r="C37" s="55" t="s">
        <v>154</v>
      </c>
      <c r="D37" s="53" t="s">
        <v>155</v>
      </c>
      <c r="E37" s="44">
        <v>2</v>
      </c>
      <c r="F37" s="63">
        <f>'Tabela DNIT-Consult'!$L$23</f>
        <v>3117.27</v>
      </c>
      <c r="G37" s="467">
        <f>E37*F37</f>
        <v>6234.54</v>
      </c>
      <c r="I37" s="366"/>
      <c r="J37" s="46"/>
    </row>
    <row r="38" spans="1:10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366"/>
      <c r="J38" s="46"/>
    </row>
    <row r="39" spans="1:10" x14ac:dyDescent="0.25">
      <c r="A39" s="47"/>
      <c r="B39" s="48"/>
      <c r="C39" s="62"/>
      <c r="D39" s="57"/>
      <c r="E39" s="44"/>
      <c r="F39" s="63"/>
      <c r="G39" s="469"/>
      <c r="J39" s="46"/>
    </row>
    <row r="40" spans="1:10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242.73333333333332</v>
      </c>
      <c r="H40" s="65"/>
      <c r="J40" s="46"/>
    </row>
    <row r="41" spans="1:10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366"/>
      <c r="J41" s="46"/>
    </row>
    <row r="42" spans="1:10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366"/>
      <c r="J42" s="46"/>
    </row>
    <row r="43" spans="1:10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368"/>
      <c r="J43" s="46"/>
    </row>
    <row r="44" spans="1:10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368"/>
      <c r="J44" s="46"/>
    </row>
    <row r="45" spans="1:10" x14ac:dyDescent="0.25">
      <c r="A45" s="47"/>
      <c r="B45" s="48" t="s">
        <v>167</v>
      </c>
      <c r="C45" s="66" t="s">
        <v>168</v>
      </c>
      <c r="D45" s="53" t="s">
        <v>155</v>
      </c>
      <c r="E45" s="44">
        <v>5</v>
      </c>
      <c r="F45" s="63">
        <f>375/60</f>
        <v>6.25</v>
      </c>
      <c r="G45" s="467">
        <f>E45*F45</f>
        <v>31.25</v>
      </c>
      <c r="I45" s="368"/>
      <c r="J45" s="46"/>
    </row>
    <row r="46" spans="1:10" x14ac:dyDescent="0.25">
      <c r="A46" s="47"/>
      <c r="B46" s="48"/>
      <c r="C46" s="68"/>
      <c r="D46" s="57"/>
      <c r="E46" s="69"/>
      <c r="F46" s="63"/>
      <c r="G46" s="469"/>
      <c r="I46" s="368"/>
      <c r="J46" s="46"/>
    </row>
    <row r="47" spans="1:10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1500</v>
      </c>
      <c r="I47" s="368"/>
      <c r="J47" s="46"/>
    </row>
    <row r="48" spans="1:10" x14ac:dyDescent="0.25">
      <c r="A48" s="47"/>
      <c r="B48" s="48" t="s">
        <v>170</v>
      </c>
      <c r="C48" s="55" t="s">
        <v>169</v>
      </c>
      <c r="D48" s="53" t="s">
        <v>171</v>
      </c>
      <c r="E48" s="44">
        <v>1000</v>
      </c>
      <c r="F48" s="63">
        <f>'Planilha base'!F47</f>
        <v>1.5</v>
      </c>
      <c r="G48" s="467">
        <f>E48*F48</f>
        <v>1500</v>
      </c>
      <c r="I48" s="368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366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366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366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25168.5</v>
      </c>
      <c r="I54" s="366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SUM(Diárias!D5:D24)</f>
        <v>105</v>
      </c>
      <c r="F55" s="63">
        <f>'Planilha base'!G77</f>
        <v>239.7</v>
      </c>
      <c r="G55" s="467">
        <f>E55*F55</f>
        <v>25168.5</v>
      </c>
      <c r="I55" s="366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368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32365.902593531038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105721.17236833334</v>
      </c>
      <c r="F59" s="301">
        <v>0.12</v>
      </c>
      <c r="G59" s="467">
        <f>E59*F59</f>
        <v>12686.540684200001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118407.71305253333</v>
      </c>
      <c r="F60" s="301">
        <v>0.16619999999999999</v>
      </c>
      <c r="G60" s="467">
        <f>E60*F60</f>
        <v>19679.361909331037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138087.07496186439</v>
      </c>
      <c r="H62" s="77"/>
      <c r="I62" s="369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1657044.8995423727</v>
      </c>
      <c r="H63" s="79"/>
      <c r="I63" s="370"/>
      <c r="J63" s="46"/>
    </row>
    <row r="64" spans="1:10" x14ac:dyDescent="0.25">
      <c r="A64" s="81" t="s">
        <v>432</v>
      </c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24" t="s">
        <v>191</v>
      </c>
      <c r="B66" s="624"/>
      <c r="C66" s="624"/>
      <c r="D66" s="624"/>
      <c r="E66" s="624"/>
      <c r="F66" s="624"/>
      <c r="G66" s="624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625" t="s">
        <v>101</v>
      </c>
      <c r="B68" s="626"/>
      <c r="C68" s="87" t="s">
        <v>103</v>
      </c>
      <c r="D68" s="88"/>
      <c r="E68" s="89" t="s">
        <v>192</v>
      </c>
      <c r="F68" s="89" t="s">
        <v>193</v>
      </c>
      <c r="G68" s="90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02'!D28</f>
        <v>1</v>
      </c>
      <c r="F69" s="95">
        <f>'Relatorios LOTE 02'!D26</f>
        <v>565.02600000000007</v>
      </c>
      <c r="G69" s="94">
        <f t="shared" ref="G69:G74" si="0">F69*E69</f>
        <v>565.02600000000007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02'!D52</f>
        <v>1</v>
      </c>
      <c r="F70" s="95">
        <f>'Relatorios LOTE 02'!D50</f>
        <v>308.19600000000003</v>
      </c>
      <c r="G70" s="94">
        <f t="shared" si="0"/>
        <v>308.19600000000003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02'!D76</f>
        <v>1</v>
      </c>
      <c r="F71" s="95">
        <f>'Relatorios LOTE 02'!D74</f>
        <v>235.06365749999998</v>
      </c>
      <c r="G71" s="94">
        <f t="shared" si="0"/>
        <v>235.06365749999998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02'!D97</f>
        <v>1</v>
      </c>
      <c r="F72" s="95">
        <f>'Relatorios LOTE 02'!D95</f>
        <v>285.27392250000003</v>
      </c>
      <c r="G72" s="94">
        <f t="shared" si="0"/>
        <v>285.27392250000003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02'!D118</f>
        <v>1</v>
      </c>
      <c r="F73" s="95">
        <f>'Relatorios LOTE 02'!D116</f>
        <v>305.58489500000002</v>
      </c>
      <c r="G73" s="94">
        <f t="shared" si="0"/>
        <v>305.58489500000002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02'!D140</f>
        <v>12</v>
      </c>
      <c r="F74" s="95">
        <f>'Relatorios LOTE 02'!D138</f>
        <v>1318.3940000000002</v>
      </c>
      <c r="G74" s="94">
        <f t="shared" si="0"/>
        <v>15820.728000000003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17519.872475000004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1657044.8995423727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17519.872475000004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329">
        <f>ROUND(G79/G80,2)</f>
        <v>94.58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P153"/>
  <sheetViews>
    <sheetView showGridLines="0" zoomScale="85" zoomScaleNormal="85" zoomScaleSheetLayoutView="85" zoomScalePageLayoutView="85" workbookViewId="0">
      <pane ySplit="1" topLeftCell="A140" activePane="bottomLeft" state="frozen"/>
      <selection activeCell="B121" sqref="B121"/>
      <selection pane="bottomLeft" activeCell="F145" sqref="F145:F150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7" width="12.28515625" style="276" bestFit="1" customWidth="1"/>
    <col min="8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649" t="s">
        <v>382</v>
      </c>
      <c r="B1" s="650"/>
      <c r="C1" s="651" t="str">
        <f>'Custo Gerencial LOTE 02'!C2:E2</f>
        <v>BR-040/RJ (CONCER)
BR-116/RJ (CRT)
BR-101/RJ (FLUMINENSE)
BR-393/RJ (RODOVIA DO AÇO)
BR-101/RJ (ECOPONTE)</v>
      </c>
      <c r="D1" s="651"/>
      <c r="E1" s="651"/>
      <c r="F1" s="275">
        <f>'Custo Gerencial LOTE 02'!C3</f>
        <v>856.1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281" t="s">
        <v>247</v>
      </c>
      <c r="B3" s="647" t="s">
        <v>384</v>
      </c>
      <c r="C3" s="647"/>
      <c r="D3" s="647"/>
      <c r="E3" s="647"/>
      <c r="F3" s="648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776764.13423284213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25651.49552</v>
      </c>
      <c r="J6" s="285"/>
      <c r="K6" s="285"/>
      <c r="L6" s="285"/>
      <c r="M6" s="290">
        <f>N6*O6</f>
        <v>176</v>
      </c>
      <c r="N6" s="285">
        <v>22</v>
      </c>
      <c r="O6" s="290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($H$7*$F$1)/$K$2</f>
        <v>188.34200000000001</v>
      </c>
      <c r="E7" s="63">
        <f>'Planilha base'!$F$14/176</f>
        <v>76.31948863636363</v>
      </c>
      <c r="F7" s="50">
        <f>D7*E7</f>
        <v>14374.165128749999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($H$7*$F$1)/$K$2</f>
        <v>188.34200000000001</v>
      </c>
      <c r="E8" s="63">
        <f>'Planilha base'!$F$16/176</f>
        <v>49.121022727272724</v>
      </c>
      <c r="F8" s="50">
        <f>D8*E8</f>
        <v>9251.5516625</v>
      </c>
      <c r="L8" s="295"/>
      <c r="M8" s="296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($H$7*$F$1)/$K$2</f>
        <v>188.34200000000001</v>
      </c>
      <c r="E9" s="63">
        <f>'Planilha base'!$F$27/176</f>
        <v>10.755852272727273</v>
      </c>
      <c r="F9" s="50">
        <f>D9*E9</f>
        <v>2025.77872875</v>
      </c>
      <c r="L9" s="160"/>
    </row>
    <row r="10" spans="1:15" ht="19.899999999999999" customHeight="1" x14ac:dyDescent="0.2">
      <c r="A10" s="291"/>
      <c r="B10" s="55"/>
      <c r="C10" s="53"/>
      <c r="D10" s="297"/>
      <c r="E10" s="63"/>
      <c r="F10" s="50"/>
      <c r="O10" s="298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29252.965491008003</v>
      </c>
      <c r="M11" s="300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25651.49552</v>
      </c>
      <c r="E12" s="301">
        <v>0.84040000000000004</v>
      </c>
      <c r="F12" s="50">
        <f>D12*E12</f>
        <v>21557.516835008002</v>
      </c>
      <c r="M12" s="302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25651.49552</v>
      </c>
      <c r="E13" s="301">
        <v>0.3</v>
      </c>
      <c r="F13" s="50">
        <f>D13*E13</f>
        <v>7695.4486559999996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498881.32000000007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Rolamento'!H8:H12)</f>
        <v>994.55600000000004</v>
      </c>
      <c r="E16" s="63">
        <f>'Cotações FWD,IRI,LVC e Mancha'!AT19</f>
        <v>238</v>
      </c>
      <c r="F16" s="50">
        <f>D16*E16</f>
        <v>236704.32800000001</v>
      </c>
    </row>
    <row r="17" spans="1:1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Rolamento'!I8:I12)</f>
        <v>2486.3900000000003</v>
      </c>
      <c r="E17" s="63">
        <f>'Cotações FWD,IRI,LVC e Mancha'!AU19</f>
        <v>64</v>
      </c>
      <c r="F17" s="50">
        <f>D17*E17</f>
        <v>159128.96000000002</v>
      </c>
    </row>
    <row r="18" spans="1:1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Rolamento'!J8:J12)</f>
        <v>994.55600000000004</v>
      </c>
      <c r="E18" s="63">
        <f>'Cotações FWD,IRI,LVC e Mancha'!AV19</f>
        <v>72</v>
      </c>
      <c r="F18" s="50">
        <f>D18*E18</f>
        <v>71608.032000000007</v>
      </c>
    </row>
    <row r="19" spans="1:1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Rolamento'!K8:K12)</f>
        <v>131</v>
      </c>
      <c r="E19" s="63">
        <f>'Cotações FWD,IRI,LVC e Mancha'!AW19</f>
        <v>240</v>
      </c>
      <c r="F19" s="50">
        <f>D19*E19</f>
        <v>31440</v>
      </c>
    </row>
    <row r="20" spans="1:16" ht="19.899999999999999" customHeight="1" x14ac:dyDescent="0.2">
      <c r="A20" s="291"/>
      <c r="B20" s="55"/>
      <c r="C20" s="53"/>
      <c r="D20" s="297"/>
      <c r="E20" s="63"/>
      <c r="F20" s="50"/>
    </row>
    <row r="21" spans="1:1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169538.19414183404</v>
      </c>
    </row>
    <row r="22" spans="1:1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553785.78101100808</v>
      </c>
      <c r="E22" s="301">
        <v>0.12</v>
      </c>
      <c r="F22" s="50">
        <f>D22*E22</f>
        <v>66454.293721320966</v>
      </c>
    </row>
    <row r="23" spans="1:1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620240.074732329</v>
      </c>
      <c r="E23" s="301">
        <v>0.16619999999999999</v>
      </c>
      <c r="F23" s="50">
        <f>D23*E23</f>
        <v>103083.90042051308</v>
      </c>
    </row>
    <row r="24" spans="1:1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723323.97515284212</v>
      </c>
    </row>
    <row r="25" spans="1:1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1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565.02600000000007</v>
      </c>
      <c r="E26" s="308">
        <f>'Custo Gerencial LOTE 02'!$G$81</f>
        <v>94.58</v>
      </c>
      <c r="F26" s="309">
        <f>D26*E26</f>
        <v>53440.159080000005</v>
      </c>
    </row>
    <row r="27" spans="1:1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1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776764.13423284213</v>
      </c>
      <c r="F28" s="315">
        <f>E28*D28</f>
        <v>776764.13423284213</v>
      </c>
      <c r="J28" s="316"/>
      <c r="K28" s="316"/>
      <c r="L28" s="316"/>
      <c r="M28" s="316"/>
      <c r="N28" s="316"/>
      <c r="O28" s="316"/>
      <c r="P28" s="316"/>
    </row>
    <row r="29" spans="1:16" ht="19.899999999999999" customHeight="1" thickBot="1" x14ac:dyDescent="0.25">
      <c r="A29" s="317"/>
      <c r="B29" s="317"/>
      <c r="C29" s="317"/>
      <c r="D29" s="317"/>
      <c r="E29" s="317"/>
      <c r="F29" s="317"/>
      <c r="J29" s="318"/>
      <c r="K29" s="318"/>
      <c r="L29" s="318"/>
      <c r="M29" s="318"/>
      <c r="N29" s="318"/>
      <c r="O29" s="318"/>
      <c r="P29" s="318"/>
    </row>
    <row r="30" spans="1:16" ht="19.899999999999999" customHeight="1" x14ac:dyDescent="0.2">
      <c r="A30" s="281" t="s">
        <v>249</v>
      </c>
      <c r="B30" s="647" t="s">
        <v>420</v>
      </c>
      <c r="C30" s="647"/>
      <c r="D30" s="647"/>
      <c r="E30" s="647"/>
      <c r="F30" s="648"/>
    </row>
    <row r="31" spans="1:1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1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138059.25123645348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8884.3976120454554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102.73200000000001</v>
      </c>
      <c r="E34" s="69">
        <f>'Planilha base'!$F$15/176</f>
        <v>59.706590909090913</v>
      </c>
      <c r="F34" s="482">
        <f>D34*E34</f>
        <v>6133.7774972727284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102.73200000000001</v>
      </c>
      <c r="E35" s="69">
        <f>'Planilha base'!$F$22/176</f>
        <v>16.018863636363637</v>
      </c>
      <c r="F35" s="482">
        <f>D35*E35</f>
        <v>1645.6498990909095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102.73200000000001</v>
      </c>
      <c r="E36" s="63">
        <f>'Planilha base'!$F$27/176</f>
        <v>10.755852272727273</v>
      </c>
      <c r="F36" s="482">
        <f>D36*E36</f>
        <v>1104.9702156818182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10131.767036776637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8884.3976120454554</v>
      </c>
      <c r="E39" s="301">
        <v>0.84040000000000004</v>
      </c>
      <c r="F39" s="482">
        <f>D39*E39</f>
        <v>7466.4477531630009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8884.3976120454554</v>
      </c>
      <c r="E40" s="301">
        <v>0.3</v>
      </c>
      <c r="F40" s="482">
        <f>D40*E40</f>
        <v>2665.3192836136363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64366.734600000003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385.245</v>
      </c>
      <c r="E43" s="485">
        <f>'Cotações FWD,IRI,LVC e Mancha'!AV32</f>
        <v>167.08</v>
      </c>
      <c r="F43" s="482">
        <f>D43*E43</f>
        <v>64366.734600000003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25527.174307631387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83382.899248822097</v>
      </c>
      <c r="E46" s="301">
        <v>0.12</v>
      </c>
      <c r="F46" s="482">
        <f>D46*E46</f>
        <v>10005.947909858651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93388.847158680743</v>
      </c>
      <c r="E47" s="301">
        <v>0.16619999999999999</v>
      </c>
      <c r="F47" s="50">
        <f>D47*E47</f>
        <v>15521.226397772738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108910.07355645348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308.19600000000003</v>
      </c>
      <c r="E50" s="321">
        <f>'Custo Gerencial LOTE 02'!$G$81</f>
        <v>94.58</v>
      </c>
      <c r="F50" s="309">
        <f>D50*E50</f>
        <v>29149.177680000001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138059.25123645348</v>
      </c>
      <c r="F52" s="315">
        <f>E52*D52</f>
        <v>138059.25123645348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281" t="s">
        <v>419</v>
      </c>
      <c r="B54" s="647" t="s">
        <v>421</v>
      </c>
      <c r="C54" s="647"/>
      <c r="D54" s="647"/>
      <c r="E54" s="647"/>
      <c r="F54" s="648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97224.504879513101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6776.2040953538353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78.354552499999997</v>
      </c>
      <c r="E58" s="69">
        <f>'Planilha base'!$F$15/176</f>
        <v>59.706590909090913</v>
      </c>
      <c r="F58" s="50">
        <f>D58*E58</f>
        <v>4678.2832119823861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78.354552499999997</v>
      </c>
      <c r="E59" s="69">
        <f>'Planilha base'!$F$22/176</f>
        <v>16.018863636363637</v>
      </c>
      <c r="F59" s="50">
        <f>D59*E59</f>
        <v>1255.1508917857955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78.354552499999997</v>
      </c>
      <c r="E60" s="63">
        <f>'Planilha base'!$F$27/176</f>
        <v>10.755852272727273</v>
      </c>
      <c r="F60" s="50">
        <f>D60*E60</f>
        <v>842.76999158565343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7727.5831503415138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6776.2040953538353</v>
      </c>
      <c r="E63" s="301">
        <v>0.84040000000000004</v>
      </c>
      <c r="F63" s="50">
        <f>D63*E63</f>
        <v>5694.7219217353631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6776.2040953538353</v>
      </c>
      <c r="E64" s="301">
        <v>0.3</v>
      </c>
      <c r="F64" s="50">
        <f>D64*E64</f>
        <v>2032.8612286061505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42911.1564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256.83</v>
      </c>
      <c r="E67" s="485">
        <f>'Cotações FWD,IRI,LVC e Mancha'!AV33</f>
        <v>167.08</v>
      </c>
      <c r="F67" s="50">
        <f>D67*E67</f>
        <v>42911.1564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17577.240507467755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57414.943645695348</v>
      </c>
      <c r="E70" s="301">
        <v>0.12</v>
      </c>
      <c r="F70" s="50">
        <f>D70*E70</f>
        <v>6889.7932374834418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64304.73688317879</v>
      </c>
      <c r="E71" s="301">
        <v>0.16619999999999999</v>
      </c>
      <c r="F71" s="50">
        <f>D71*E71</f>
        <v>10687.447269984314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74992.184153163107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235.06365749999998</v>
      </c>
      <c r="E74" s="321">
        <f>'Custo Gerencial LOTE 02'!$G$81</f>
        <v>94.58</v>
      </c>
      <c r="F74" s="309">
        <f>D74*E74</f>
        <v>22232.320726349997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97224.504879513101</v>
      </c>
      <c r="F76" s="315">
        <f>E76*D76</f>
        <v>97224.504879513101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281" t="s">
        <v>255</v>
      </c>
      <c r="B78" s="647" t="s">
        <v>422</v>
      </c>
      <c r="C78" s="647"/>
      <c r="D78" s="647"/>
      <c r="E78" s="647"/>
      <c r="F78" s="648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70374.787288669831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15521.706822483948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127.32347250000001</v>
      </c>
      <c r="E82" s="63">
        <f>'Planilha base'!$F$14/176</f>
        <v>76.31948863636363</v>
      </c>
      <c r="F82" s="50">
        <f>D82*E82</f>
        <v>9717.262312606108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107.0125</v>
      </c>
      <c r="E83" s="63">
        <f>'Planilha base'!$F$16/176</f>
        <v>49.121022727272724</v>
      </c>
      <c r="F83" s="50">
        <f>D83*E83</f>
        <v>5256.5634446022723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50.937950000000001</v>
      </c>
      <c r="E84" s="63">
        <f>'Planilha base'!$F$27/176</f>
        <v>10.755852272727273</v>
      </c>
      <c r="F84" s="50">
        <f>D84*E84</f>
        <v>547.88106527556818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17700.954460360696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15521.706822483948</v>
      </c>
      <c r="E87" s="301">
        <v>0.84040000000000004</v>
      </c>
      <c r="F87" s="50">
        <f>D87*E87</f>
        <v>13044.44241361551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15521.706822483948</v>
      </c>
      <c r="E88" s="301">
        <v>0.3</v>
      </c>
      <c r="F88" s="50">
        <f>D88*E88</f>
        <v>4656.5120467451843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10170.918415775192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33222.661282844645</v>
      </c>
      <c r="E91" s="301">
        <v>0.12</v>
      </c>
      <c r="F91" s="50">
        <f>D91*E91</f>
        <v>3986.7193539413574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37209.380636786002</v>
      </c>
      <c r="E92" s="301">
        <v>0.16619999999999999</v>
      </c>
      <c r="F92" s="50">
        <f>D92*E92</f>
        <v>6184.1990618338332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43393.579698619833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285.27392250000003</v>
      </c>
      <c r="E95" s="321">
        <f>'Custo Gerencial LOTE 02'!$G$81</f>
        <v>94.58</v>
      </c>
      <c r="F95" s="309">
        <f>D95*E95</f>
        <v>26981.207590050002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70374.787288669831</v>
      </c>
      <c r="F97" s="315">
        <f>E97*D97</f>
        <v>70374.787288669831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281" t="s">
        <v>258</v>
      </c>
      <c r="B99" s="647" t="s">
        <v>424</v>
      </c>
      <c r="C99" s="647"/>
      <c r="D99" s="647"/>
      <c r="E99" s="647"/>
      <c r="F99" s="648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63302.165548160046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12304.720721567472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127.32347250000001</v>
      </c>
      <c r="E103" s="63">
        <f>'Planilha base'!$F$14/176</f>
        <v>76.31948863636363</v>
      </c>
      <c r="F103" s="50">
        <f>D103*E103</f>
        <v>9717.262312606108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127.32347250000001</v>
      </c>
      <c r="E104" s="69">
        <f>'Planilha base'!$F$22/176</f>
        <v>16.018863636363637</v>
      </c>
      <c r="F104" s="50">
        <f>D104*E104</f>
        <v>2039.5773436857958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50.937950000000001</v>
      </c>
      <c r="E105" s="63">
        <f>'Planilha base'!$F$27/176</f>
        <v>10.755852272727273</v>
      </c>
      <c r="F105" s="50">
        <f>D105*E105</f>
        <v>547.88106527556818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14032.303510875545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12304.720721567472</v>
      </c>
      <c r="E108" s="301">
        <v>0.84040000000000004</v>
      </c>
      <c r="F108" s="50">
        <f>D108*E108</f>
        <v>10340.887294405304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12304.720721567472</v>
      </c>
      <c r="E109" s="301">
        <v>0.3</v>
      </c>
      <c r="F109" s="50">
        <f>D109*E109</f>
        <v>3691.4162164702411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8062.9219466170334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26337.024232443015</v>
      </c>
      <c r="E112" s="301">
        <v>0.12</v>
      </c>
      <c r="F112" s="50">
        <f>D112*E112</f>
        <v>3160.4429078931616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29497.467140336175</v>
      </c>
      <c r="E113" s="301">
        <v>0.16619999999999999</v>
      </c>
      <c r="F113" s="50">
        <f>D113*E113</f>
        <v>4902.4790387238718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34399.946179060047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305.58489500000002</v>
      </c>
      <c r="E116" s="321">
        <f>'Custo Gerencial LOTE 02'!$G$81</f>
        <v>94.58</v>
      </c>
      <c r="F116" s="309">
        <f>D116*E116</f>
        <v>28902.219369099999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63302.165548160046</v>
      </c>
      <c r="F118" s="315">
        <f>E118*D118</f>
        <v>63302.165548160046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281" t="s">
        <v>261</v>
      </c>
      <c r="B120" s="647" t="s">
        <v>524</v>
      </c>
      <c r="C120" s="647"/>
      <c r="D120" s="647"/>
      <c r="E120" s="647"/>
      <c r="F120" s="648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261830.99106698792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49053.449173750007</v>
      </c>
    </row>
    <row r="124" spans="1:8" ht="19.899999999999999" customHeight="1" x14ac:dyDescent="0.2">
      <c r="A124" s="291" t="s">
        <v>121</v>
      </c>
      <c r="B124" s="276" t="s">
        <v>5</v>
      </c>
      <c r="C124" s="53" t="s">
        <v>397</v>
      </c>
      <c r="D124" s="480">
        <f>(H124*F1)/K2</f>
        <v>376.68400000000003</v>
      </c>
      <c r="E124" s="63">
        <f>'Planilha base'!$F$15/176</f>
        <v>59.706590909090913</v>
      </c>
      <c r="F124" s="50">
        <f>D124*E124</f>
        <v>22490.517490000002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376.68400000000003</v>
      </c>
      <c r="E125" s="63">
        <f>'Planilha base'!$F$16/176</f>
        <v>49.121022727272724</v>
      </c>
      <c r="F125" s="50">
        <f>D125*E125</f>
        <v>18503.103325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376.68400000000003</v>
      </c>
      <c r="E126" s="69">
        <f>'Planilha base'!$F$22/176</f>
        <v>16.018863636363637</v>
      </c>
      <c r="F126" s="50">
        <f>D126*E126</f>
        <v>6034.0496300000004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188.34200000000001</v>
      </c>
      <c r="E127" s="63">
        <f>'Planilha base'!$F$27/176</f>
        <v>10.755852272727273</v>
      </c>
      <c r="F127" s="50">
        <f>D127*E127</f>
        <v>2025.77872875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55940.553437744507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49053.449173750007</v>
      </c>
      <c r="E130" s="301">
        <v>0.84040000000000004</v>
      </c>
      <c r="F130" s="50">
        <f>D130*E130</f>
        <v>41224.518685619507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49053.449173750007</v>
      </c>
      <c r="E131" s="301">
        <v>0.3</v>
      </c>
      <c r="F131" s="50">
        <f>D131*E131</f>
        <v>14716.034752125002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32143.283935493375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104994.00261149451</v>
      </c>
      <c r="E134" s="301">
        <v>0.12</v>
      </c>
      <c r="F134" s="50">
        <f>D134*E134</f>
        <v>12599.28031337934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117593.28292487384</v>
      </c>
      <c r="E135" s="301">
        <v>0.16619999999999999</v>
      </c>
      <c r="F135" s="50">
        <f>D135*E135</f>
        <v>19544.003622114033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137137.28654698789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1318.3940000000002</v>
      </c>
      <c r="E138" s="321">
        <f>'Custo Gerencial LOTE 02'!$G$81</f>
        <v>94.58</v>
      </c>
      <c r="F138" s="309">
        <f>D138*E138</f>
        <v>124693.70452000001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261830.99106698792</v>
      </c>
      <c r="F140" s="315">
        <f>E140*D140</f>
        <v>3141971.8928038552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433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52" t="s">
        <v>490</v>
      </c>
      <c r="F143" s="653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776764.13423284213</v>
      </c>
      <c r="F145" s="94">
        <f t="shared" ref="F145:F150" si="0">ROUND(D145*E145,2)</f>
        <v>776764.13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138059.25123645348</v>
      </c>
      <c r="F146" s="94">
        <f t="shared" si="0"/>
        <v>138059.25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97224.504879513101</v>
      </c>
      <c r="F147" s="94">
        <f t="shared" si="0"/>
        <v>97224.5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70374.787288669831</v>
      </c>
      <c r="F148" s="94">
        <f t="shared" si="0"/>
        <v>70374.789999999994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63302.165548160046</v>
      </c>
      <c r="F149" s="94">
        <f t="shared" si="0"/>
        <v>63302.17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261830.99106698792</v>
      </c>
      <c r="F150" s="389">
        <f t="shared" si="0"/>
        <v>3141971.89</v>
      </c>
      <c r="I150" s="391"/>
      <c r="J150" s="391"/>
      <c r="K150" s="391"/>
      <c r="L150" s="391"/>
    </row>
    <row r="151" spans="1:12" ht="19.899999999999999" customHeight="1" thickBot="1" x14ac:dyDescent="0.25">
      <c r="D151" s="386"/>
      <c r="E151" s="552" t="s">
        <v>195</v>
      </c>
      <c r="F151" s="553">
        <f>ROUND(SUM(F145:F150),2)</f>
        <v>4287696.7300000004</v>
      </c>
      <c r="I151" s="578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E143:F143"/>
    <mergeCell ref="D143:D144"/>
    <mergeCell ref="A143:A144"/>
    <mergeCell ref="B143:C144"/>
    <mergeCell ref="A142:F142"/>
    <mergeCell ref="B120:F120"/>
    <mergeCell ref="J3:O3"/>
    <mergeCell ref="B30:F30"/>
    <mergeCell ref="B54:F54"/>
    <mergeCell ref="B78:F78"/>
    <mergeCell ref="B99:F9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82"/>
  <sheetViews>
    <sheetView showGridLines="0" topLeftCell="A43" zoomScale="85" zoomScaleNormal="85" zoomScaleSheetLayoutView="85" zoomScalePageLayoutView="70" workbookViewId="0">
      <selection activeCell="E57" sqref="E57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10" width="9.5703125" style="18" customWidth="1"/>
    <col min="11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28" t="s">
        <v>435</v>
      </c>
      <c r="B1" s="629"/>
      <c r="C1" s="629"/>
      <c r="D1" s="629"/>
      <c r="E1" s="629"/>
      <c r="F1" s="629"/>
      <c r="G1" s="630"/>
    </row>
    <row r="2" spans="1:10" ht="78.75" customHeight="1" thickBot="1" x14ac:dyDescent="0.3">
      <c r="A2" s="514" t="s">
        <v>436</v>
      </c>
      <c r="B2" s="515"/>
      <c r="C2" s="631" t="s">
        <v>451</v>
      </c>
      <c r="D2" s="632"/>
      <c r="E2" s="633"/>
      <c r="F2" s="634" t="s">
        <v>99</v>
      </c>
      <c r="G2" s="635"/>
      <c r="J2" s="19"/>
    </row>
    <row r="3" spans="1:10" ht="16.5" thickBot="1" x14ac:dyDescent="0.3">
      <c r="A3" s="642" t="s">
        <v>100</v>
      </c>
      <c r="B3" s="643"/>
      <c r="C3" s="638">
        <f>SUM(Resumo!G13:G15)</f>
        <v>2675.3999999999996</v>
      </c>
      <c r="D3" s="638"/>
      <c r="E3" s="639"/>
      <c r="F3" s="636"/>
      <c r="G3" s="637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29" t="s">
        <v>101</v>
      </c>
      <c r="B6" s="30" t="s">
        <v>102</v>
      </c>
      <c r="C6" s="31" t="s">
        <v>103</v>
      </c>
      <c r="D6" s="31" t="s">
        <v>104</v>
      </c>
      <c r="E6" s="32" t="s">
        <v>105</v>
      </c>
      <c r="F6" s="32" t="s">
        <v>106</v>
      </c>
      <c r="G6" s="33" t="s">
        <v>107</v>
      </c>
      <c r="H6" s="34"/>
      <c r="I6" s="3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192152.06293237212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51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51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>
        <v>0</v>
      </c>
      <c r="F14" s="63">
        <f>VLOOKUP(A14,'Planilha base'!$C$11:$F$27,4)</f>
        <v>13432.23</v>
      </c>
      <c r="G14" s="467">
        <f>E14*F14</f>
        <v>0</v>
      </c>
      <c r="I14" s="51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>
        <v>0</v>
      </c>
      <c r="F15" s="63">
        <f>VLOOKUP(A15,'Planilha base'!$C$11:$F$27,4)</f>
        <v>10508.36</v>
      </c>
      <c r="G15" s="467">
        <f>E15*F15</f>
        <v>0</v>
      </c>
      <c r="I15" s="51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>
        <v>0</v>
      </c>
      <c r="F16" s="63">
        <f>VLOOKUP(A16,'Planilha base'!$C$11:$F$27,4)</f>
        <v>8645.2999999999993</v>
      </c>
      <c r="G16" s="467">
        <f>E16*F16</f>
        <v>0</v>
      </c>
      <c r="I16" s="51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51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4644.72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1</v>
      </c>
      <c r="F20" s="63">
        <f>VLOOKUP(A20,'Planilha base'!$C$11:$F$27,4)</f>
        <v>4644.72</v>
      </c>
      <c r="G20" s="467">
        <f>E20*F20</f>
        <v>4644.72</v>
      </c>
      <c r="I20" s="51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51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51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8366.34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51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2</v>
      </c>
      <c r="F26" s="470">
        <f>VLOOKUP(A26,'Planilha base'!C26:F31,4)</f>
        <v>1893.03</v>
      </c>
      <c r="G26" s="467">
        <f>E26*F26</f>
        <v>3786.06</v>
      </c>
      <c r="I26" s="51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51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32689.594843333336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38703.15</v>
      </c>
      <c r="F31" s="301">
        <v>0.84040000000000004</v>
      </c>
      <c r="G31" s="467">
        <f>E31*F31</f>
        <v>32526.127260000001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0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11856.146374999998</v>
      </c>
      <c r="J33" s="46"/>
    </row>
    <row r="34" spans="1:10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39520.487916666665</v>
      </c>
      <c r="F34" s="301">
        <v>0.3</v>
      </c>
      <c r="G34" s="467">
        <f>E34*F34</f>
        <v>11856.146374999998</v>
      </c>
      <c r="J34" s="46"/>
    </row>
    <row r="35" spans="1:10" x14ac:dyDescent="0.25">
      <c r="A35" s="37"/>
      <c r="B35" s="38"/>
      <c r="C35" s="39"/>
      <c r="D35" s="57"/>
      <c r="E35" s="44"/>
      <c r="F35" s="474"/>
      <c r="G35" s="469"/>
      <c r="J35" s="46"/>
    </row>
    <row r="36" spans="1:10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12469.08</v>
      </c>
      <c r="I36" s="61"/>
      <c r="J36" s="46"/>
    </row>
    <row r="37" spans="1:10" x14ac:dyDescent="0.25">
      <c r="A37" s="47"/>
      <c r="B37" s="48" t="s">
        <v>153</v>
      </c>
      <c r="C37" s="55" t="s">
        <v>154</v>
      </c>
      <c r="D37" s="53" t="s">
        <v>155</v>
      </c>
      <c r="E37" s="44">
        <v>4</v>
      </c>
      <c r="F37" s="63">
        <f>'Tabela DNIT-Consult'!$L$23</f>
        <v>3117.27</v>
      </c>
      <c r="G37" s="467">
        <f>E37*F37</f>
        <v>12469.08</v>
      </c>
      <c r="I37" s="51"/>
      <c r="J37" s="46"/>
    </row>
    <row r="38" spans="1:10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51"/>
      <c r="J38" s="46"/>
    </row>
    <row r="39" spans="1:10" x14ac:dyDescent="0.25">
      <c r="A39" s="47"/>
      <c r="B39" s="48"/>
      <c r="C39" s="62"/>
      <c r="D39" s="57"/>
      <c r="E39" s="44"/>
      <c r="F39" s="63"/>
      <c r="G39" s="469"/>
      <c r="J39" s="46"/>
    </row>
    <row r="40" spans="1:10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283.11666666666667</v>
      </c>
      <c r="H40" s="65"/>
      <c r="J40" s="46"/>
    </row>
    <row r="41" spans="1:10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4</v>
      </c>
      <c r="F41" s="63">
        <f>2423/60</f>
        <v>40.383333333333333</v>
      </c>
      <c r="G41" s="467">
        <f>E41*F41</f>
        <v>161.53333333333333</v>
      </c>
      <c r="I41" s="51"/>
      <c r="J41" s="46"/>
    </row>
    <row r="42" spans="1:10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51"/>
      <c r="J42" s="46"/>
    </row>
    <row r="43" spans="1:10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67"/>
      <c r="J43" s="46"/>
    </row>
    <row r="44" spans="1:10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67"/>
      <c r="J44" s="46"/>
    </row>
    <row r="45" spans="1:10" x14ac:dyDescent="0.25">
      <c r="A45" s="47"/>
      <c r="B45" s="48" t="s">
        <v>167</v>
      </c>
      <c r="C45" s="66" t="s">
        <v>168</v>
      </c>
      <c r="D45" s="53" t="s">
        <v>155</v>
      </c>
      <c r="E45" s="44">
        <v>5</v>
      </c>
      <c r="F45" s="63">
        <f>375/60</f>
        <v>6.25</v>
      </c>
      <c r="G45" s="467">
        <f>E45*F45</f>
        <v>31.25</v>
      </c>
      <c r="I45" s="67"/>
      <c r="J45" s="46"/>
    </row>
    <row r="46" spans="1:10" x14ac:dyDescent="0.25">
      <c r="A46" s="47"/>
      <c r="B46" s="48"/>
      <c r="C46" s="68"/>
      <c r="D46" s="57"/>
      <c r="E46" s="69"/>
      <c r="F46" s="63"/>
      <c r="G46" s="469"/>
      <c r="I46" s="70"/>
      <c r="J46" s="46"/>
    </row>
    <row r="47" spans="1:10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2250</v>
      </c>
      <c r="I47" s="70"/>
      <c r="J47" s="46"/>
    </row>
    <row r="48" spans="1:10" x14ac:dyDescent="0.25">
      <c r="A48" s="47"/>
      <c r="B48" s="48" t="s">
        <v>170</v>
      </c>
      <c r="C48" s="55" t="s">
        <v>169</v>
      </c>
      <c r="D48" s="53" t="s">
        <v>171</v>
      </c>
      <c r="E48" s="44">
        <v>1500</v>
      </c>
      <c r="F48" s="63">
        <f>'Planilha base'!F47</f>
        <v>1.5</v>
      </c>
      <c r="G48" s="467">
        <f>E48*F48</f>
        <v>2250</v>
      </c>
      <c r="I48" s="67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51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51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51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45543</v>
      </c>
      <c r="I54" s="51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SUM(Diárias!E5:E24)</f>
        <v>190</v>
      </c>
      <c r="F55" s="63">
        <f>'Planilha base'!G77</f>
        <v>239.7</v>
      </c>
      <c r="G55" s="467">
        <f>E55*F55</f>
        <v>45543</v>
      </c>
      <c r="I55" s="51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67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45038.067130705444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147113.99580166669</v>
      </c>
      <c r="F59" s="301">
        <v>0.12</v>
      </c>
      <c r="G59" s="467">
        <f>E59*F59</f>
        <v>17653.679496200002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164767.67529786669</v>
      </c>
      <c r="F60" s="301">
        <v>0.16619999999999999</v>
      </c>
      <c r="G60" s="467">
        <f>E60*F60</f>
        <v>27384.387634505441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192152.06293237212</v>
      </c>
      <c r="H62" s="77"/>
      <c r="I62" s="78"/>
      <c r="J62" s="46"/>
    </row>
    <row r="63" spans="1:10" ht="21" thickBot="1" x14ac:dyDescent="0.35">
      <c r="A63" s="74"/>
      <c r="B63" s="75"/>
      <c r="C63" s="627" t="s">
        <v>190</v>
      </c>
      <c r="D63" s="627"/>
      <c r="E63" s="627"/>
      <c r="F63" s="627"/>
      <c r="G63" s="357">
        <f>G62*12</f>
        <v>2305824.7551884656</v>
      </c>
      <c r="H63" s="358"/>
      <c r="I63" s="8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24" t="s">
        <v>191</v>
      </c>
      <c r="B66" s="624"/>
      <c r="C66" s="624"/>
      <c r="D66" s="624"/>
      <c r="E66" s="624"/>
      <c r="F66" s="624"/>
      <c r="G66" s="624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625" t="s">
        <v>101</v>
      </c>
      <c r="B68" s="626"/>
      <c r="C68" s="87" t="s">
        <v>103</v>
      </c>
      <c r="D68" s="88"/>
      <c r="E68" s="89" t="s">
        <v>192</v>
      </c>
      <c r="F68" s="89" t="s">
        <v>193</v>
      </c>
      <c r="G68" s="90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03'!D28</f>
        <v>1</v>
      </c>
      <c r="F69" s="95">
        <f>'Relatorios LOTE 03'!D26</f>
        <v>1765.7639999999997</v>
      </c>
      <c r="G69" s="94">
        <f t="shared" ref="G69:G74" si="0">F69*E69</f>
        <v>1765.7639999999997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03'!D52</f>
        <v>1</v>
      </c>
      <c r="F70" s="95">
        <f>'Relatorios LOTE 03'!D50</f>
        <v>963.14399999999978</v>
      </c>
      <c r="G70" s="94">
        <f t="shared" si="0"/>
        <v>963.14399999999978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03'!D76</f>
        <v>1</v>
      </c>
      <c r="F71" s="95">
        <f>'Relatorios LOTE 03'!D74</f>
        <v>734.59795499999996</v>
      </c>
      <c r="G71" s="94">
        <f t="shared" si="0"/>
        <v>734.59795499999996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03'!D97</f>
        <v>1</v>
      </c>
      <c r="F72" s="95">
        <f>'Relatorios LOTE 03'!D95</f>
        <v>891.5101649999998</v>
      </c>
      <c r="G72" s="94">
        <f t="shared" si="0"/>
        <v>891.5101649999998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03'!D118</f>
        <v>1</v>
      </c>
      <c r="F73" s="95">
        <f>'Relatorios LOTE 03'!D116</f>
        <v>954.98402999999985</v>
      </c>
      <c r="G73" s="94">
        <f t="shared" si="0"/>
        <v>954.98402999999985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03'!D140</f>
        <v>12</v>
      </c>
      <c r="F74" s="95">
        <f>'Relatorios LOTE 03'!D138</f>
        <v>4120.1159999999991</v>
      </c>
      <c r="G74" s="94">
        <f t="shared" si="0"/>
        <v>49441.391999999993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54751.392149999992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2305824.7551884656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54751.392149999992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105">
        <f>ROUND(G79/G80,2)</f>
        <v>42.11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3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53"/>
  <sheetViews>
    <sheetView showGridLines="0" zoomScale="85" zoomScaleNormal="85" zoomScaleSheetLayoutView="70" zoomScalePageLayoutView="85" workbookViewId="0">
      <pane ySplit="1" topLeftCell="A74" activePane="bottomLeft" state="frozen"/>
      <selection activeCell="B121" sqref="B121"/>
      <selection pane="bottomLeft" activeCell="I96" sqref="I96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7" width="13.140625" style="276" bestFit="1" customWidth="1"/>
    <col min="8" max="8" width="14.28515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649" t="s">
        <v>382</v>
      </c>
      <c r="B1" s="650"/>
      <c r="C1" s="651" t="str">
        <f>'Custo Gerencial LOTE 03'!C2:E2</f>
        <v>BR-381/MG (FERNÃO DIAS)
BR-153/262/MG (CONCEBRA)
BR-040/MG (VIA 040)</v>
      </c>
      <c r="D1" s="651"/>
      <c r="E1" s="651"/>
      <c r="F1" s="275">
        <f>'Custo Gerencial LOTE 03'!C3</f>
        <v>2675.3999999999996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281" t="s">
        <v>247</v>
      </c>
      <c r="B3" s="647" t="s">
        <v>384</v>
      </c>
      <c r="C3" s="647"/>
      <c r="D3" s="647"/>
      <c r="E3" s="647"/>
      <c r="F3" s="648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2720722.6277576229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80163.545279999977</v>
      </c>
      <c r="J6" s="285"/>
      <c r="K6" s="285"/>
      <c r="L6" s="285"/>
      <c r="M6" s="290">
        <f>N6*O6</f>
        <v>176</v>
      </c>
      <c r="N6" s="285">
        <v>22</v>
      </c>
      <c r="O6" s="290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($H$7*$F$1)/$K$2</f>
        <v>588.58799999999985</v>
      </c>
      <c r="E7" s="63">
        <f>'Tabela DNIT-Consult'!$L$9/176</f>
        <v>76.31948863636363</v>
      </c>
      <c r="F7" s="50">
        <f>D7*E7</f>
        <v>44920.735177499984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($H$7*$F$1)/$K$2</f>
        <v>588.58799999999985</v>
      </c>
      <c r="E8" s="63">
        <f>'Planilha base'!$F$16/176</f>
        <v>49.121022727272724</v>
      </c>
      <c r="F8" s="50">
        <f>D8*E8</f>
        <v>28912.04452499999</v>
      </c>
      <c r="L8" s="295"/>
      <c r="M8" s="296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($H$7*$F$1)/$K$2</f>
        <v>588.58799999999985</v>
      </c>
      <c r="E9" s="63">
        <f>'Planilha base'!$F$27/176</f>
        <v>10.755852272727273</v>
      </c>
      <c r="F9" s="50">
        <f>D9*E9</f>
        <v>6330.7655774999985</v>
      </c>
      <c r="L9" s="160"/>
    </row>
    <row r="10" spans="1:15" ht="19.899999999999999" customHeight="1" x14ac:dyDescent="0.2">
      <c r="A10" s="291"/>
      <c r="B10" s="55"/>
      <c r="C10" s="53"/>
      <c r="D10" s="297"/>
      <c r="E10" s="63"/>
      <c r="F10" s="50"/>
      <c r="O10" s="298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91418.507037311967</v>
      </c>
      <c r="M11" s="300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80163.545279999977</v>
      </c>
      <c r="E12" s="301">
        <v>0.84040000000000004</v>
      </c>
      <c r="F12" s="50">
        <f>D12*E12</f>
        <v>67369.443453311978</v>
      </c>
      <c r="M12" s="302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80163.545279999977</v>
      </c>
      <c r="E13" s="301">
        <v>0.3</v>
      </c>
      <c r="F13" s="50">
        <f>D13*E13</f>
        <v>24049.063583999992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1854508.7199999997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Rolamento'!H13:H15)</f>
        <v>3739.9759999999997</v>
      </c>
      <c r="E16" s="63">
        <f>'Cotações FWD,IRI,LVC e Mancha'!AT19</f>
        <v>238</v>
      </c>
      <c r="F16" s="50">
        <f>D16*E16</f>
        <v>890114.28799999994</v>
      </c>
    </row>
    <row r="17" spans="1:1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Rolamento'!I13:I15)</f>
        <v>9349.94</v>
      </c>
      <c r="E17" s="63">
        <f>'Cotações FWD,IRI,LVC e Mancha'!AU19</f>
        <v>64</v>
      </c>
      <c r="F17" s="50">
        <f>D17*E17</f>
        <v>598396.16000000003</v>
      </c>
    </row>
    <row r="18" spans="1:1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Rolamento'!J13:J15)</f>
        <v>3739.9759999999997</v>
      </c>
      <c r="E18" s="63">
        <f>'Cotações FWD,IRI,LVC e Mancha'!AV19</f>
        <v>72</v>
      </c>
      <c r="F18" s="50">
        <f>D18*E18</f>
        <v>269278.272</v>
      </c>
    </row>
    <row r="19" spans="1:1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Rolamento'!K13:K15)</f>
        <v>403</v>
      </c>
      <c r="E19" s="63">
        <f>'Cotações FWD,IRI,LVC e Mancha'!AW19</f>
        <v>240</v>
      </c>
      <c r="F19" s="50">
        <f>D19*E19</f>
        <v>96720</v>
      </c>
    </row>
    <row r="20" spans="1:16" ht="19.899999999999999" customHeight="1" x14ac:dyDescent="0.2">
      <c r="A20" s="291"/>
      <c r="B20" s="55"/>
      <c r="C20" s="53"/>
      <c r="D20" s="297"/>
      <c r="E20" s="63"/>
      <c r="F20" s="50"/>
    </row>
    <row r="21" spans="1:1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620275.53340031102</v>
      </c>
    </row>
    <row r="22" spans="1:1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2026090.7723173117</v>
      </c>
      <c r="E22" s="301">
        <v>0.12</v>
      </c>
      <c r="F22" s="50">
        <f>D22*E22</f>
        <v>243130.89267807739</v>
      </c>
    </row>
    <row r="23" spans="1:1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2269221.6649953891</v>
      </c>
      <c r="E23" s="301">
        <v>0.16619999999999999</v>
      </c>
      <c r="F23" s="50">
        <f>D23*E23</f>
        <v>377144.64072223363</v>
      </c>
    </row>
    <row r="24" spans="1:1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2646366.3057176229</v>
      </c>
    </row>
    <row r="25" spans="1:1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1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1765.7639999999997</v>
      </c>
      <c r="E26" s="308">
        <f>'Custo Gerencial LOTE 03'!$G$81</f>
        <v>42.11</v>
      </c>
      <c r="F26" s="309">
        <f>D26*E26</f>
        <v>74356.322039999985</v>
      </c>
    </row>
    <row r="27" spans="1:1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1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2720722.6277576229</v>
      </c>
      <c r="F28" s="315">
        <f>E28*D28</f>
        <v>2720722.6277576229</v>
      </c>
      <c r="J28" s="316"/>
      <c r="K28" s="316"/>
      <c r="L28" s="316"/>
      <c r="M28" s="316"/>
      <c r="N28" s="316"/>
      <c r="O28" s="316"/>
      <c r="P28" s="316"/>
    </row>
    <row r="29" spans="1:16" ht="19.899999999999999" customHeight="1" thickBot="1" x14ac:dyDescent="0.25">
      <c r="A29" s="317"/>
      <c r="B29" s="317"/>
      <c r="C29" s="317"/>
      <c r="D29" s="317"/>
      <c r="E29" s="317"/>
      <c r="F29" s="317"/>
      <c r="J29" s="318"/>
      <c r="K29" s="318"/>
      <c r="L29" s="318"/>
      <c r="M29" s="318"/>
      <c r="N29" s="318"/>
      <c r="O29" s="318"/>
      <c r="P29" s="318"/>
    </row>
    <row r="30" spans="1:16" ht="19.899999999999999" customHeight="1" x14ac:dyDescent="0.2">
      <c r="A30" s="281" t="s">
        <v>249</v>
      </c>
      <c r="B30" s="647" t="s">
        <v>420</v>
      </c>
      <c r="C30" s="647"/>
      <c r="D30" s="647"/>
      <c r="E30" s="647"/>
      <c r="F30" s="648"/>
    </row>
    <row r="31" spans="1:1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1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380913.10515051935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27764.650591363628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321.04799999999994</v>
      </c>
      <c r="E34" s="69">
        <f>'Planilha base'!$F$15/176</f>
        <v>59.706590909090913</v>
      </c>
      <c r="F34" s="482">
        <f>D34*E34</f>
        <v>19168.681598181814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321.04799999999994</v>
      </c>
      <c r="E35" s="69">
        <f>'Planilha base'!$F$22/176</f>
        <v>16.018863636363637</v>
      </c>
      <c r="F35" s="482">
        <f>D35*E35</f>
        <v>5142.8241327272717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321.04799999999994</v>
      </c>
      <c r="E36" s="63">
        <f>'Planilha base'!$F$27/176</f>
        <v>10.755852272727273</v>
      </c>
      <c r="F36" s="482">
        <f>D36*E36</f>
        <v>3453.1448604545449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31662.807534391082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27764.650591363628</v>
      </c>
      <c r="E39" s="301">
        <v>0.84040000000000004</v>
      </c>
      <c r="F39" s="482">
        <f>D39*E39</f>
        <v>23333.412356981993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27764.650591363628</v>
      </c>
      <c r="E40" s="301">
        <v>0.3</v>
      </c>
      <c r="F40" s="482">
        <f>D40*E40</f>
        <v>8329.3951774090874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201152.6244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1203.9299999999998</v>
      </c>
      <c r="E43" s="485">
        <f>'Cotações FWD,IRI,LVC e Mancha'!AV32</f>
        <v>167.08</v>
      </c>
      <c r="F43" s="482">
        <f>D43*E43</f>
        <v>201152.6244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79775.02878476464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260580.0825257547</v>
      </c>
      <c r="E46" s="301">
        <v>0.12</v>
      </c>
      <c r="F46" s="482">
        <f>D46*E46</f>
        <v>31269.609903090561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291849.69242884527</v>
      </c>
      <c r="E47" s="301">
        <v>0.16619999999999999</v>
      </c>
      <c r="F47" s="50">
        <f>D47*E47</f>
        <v>48505.418881674079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340355.11131051934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963.14399999999978</v>
      </c>
      <c r="E50" s="321">
        <f>'Custo Gerencial LOTE 03'!$G$81</f>
        <v>42.11</v>
      </c>
      <c r="F50" s="309">
        <f>D50*E50</f>
        <v>40557.993839999988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380913.10515051935</v>
      </c>
      <c r="F52" s="315">
        <f>E52*D52</f>
        <v>380913.10515051935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281" t="s">
        <v>419</v>
      </c>
      <c r="B54" s="647" t="s">
        <v>421</v>
      </c>
      <c r="C54" s="647"/>
      <c r="D54" s="647"/>
      <c r="E54" s="647"/>
      <c r="F54" s="648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265292.16014129639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21176.330378121304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244.86598499999997</v>
      </c>
      <c r="E58" s="69">
        <f>'Planilha base'!$F$15/176</f>
        <v>59.706590909090913</v>
      </c>
      <c r="F58" s="50">
        <f>D58*E58</f>
        <v>14620.11319394659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244.86598499999997</v>
      </c>
      <c r="E59" s="69">
        <f>'Planilha base'!$F$22/176</f>
        <v>16.018863636363637</v>
      </c>
      <c r="F59" s="50">
        <f>D59*E59</f>
        <v>3922.4748228988633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244.86598499999997</v>
      </c>
      <c r="E60" s="63">
        <f>'Planilha base'!$F$27/176</f>
        <v>10.755852272727273</v>
      </c>
      <c r="F60" s="50">
        <f>D60*E60</f>
        <v>2633.7423612758521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24149.487163209535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21176.330378121304</v>
      </c>
      <c r="E63" s="301">
        <v>0.84040000000000004</v>
      </c>
      <c r="F63" s="50">
        <f>D63*E63</f>
        <v>17796.588049773145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21176.330378121304</v>
      </c>
      <c r="E64" s="301">
        <v>0.3</v>
      </c>
      <c r="F64" s="50">
        <f>D64*E64</f>
        <v>6352.8991134363905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134101.74959999998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802.61999999999989</v>
      </c>
      <c r="E67" s="485">
        <f>'Cotações FWD,IRI,LVC e Mancha'!AV33</f>
        <v>167.08</v>
      </c>
      <c r="F67" s="50">
        <f>D67*E67</f>
        <v>134101.74959999998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54930.673114915582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179427.5671413308</v>
      </c>
      <c r="E70" s="301">
        <v>0.12</v>
      </c>
      <c r="F70" s="50">
        <f>D70*E70</f>
        <v>21531.308056959697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200958.87519829051</v>
      </c>
      <c r="E71" s="301">
        <v>0.16619999999999999</v>
      </c>
      <c r="F71" s="50">
        <f>D71*E71</f>
        <v>33399.365057955882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234358.24025624641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734.59795499999996</v>
      </c>
      <c r="E74" s="321">
        <f>'Custo Gerencial LOTE 03'!$G$81</f>
        <v>42.11</v>
      </c>
      <c r="F74" s="309">
        <f>D74*E74</f>
        <v>30933.919885049996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265292.16014129639</v>
      </c>
      <c r="F76" s="315">
        <f>E76*D76</f>
        <v>265292.16014129639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281" t="s">
        <v>255</v>
      </c>
      <c r="B78" s="647" t="s">
        <v>422</v>
      </c>
      <c r="C78" s="647"/>
      <c r="D78" s="647"/>
      <c r="E78" s="647"/>
      <c r="F78" s="648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173150.86476370599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48506.920257999707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397.89886499999994</v>
      </c>
      <c r="E82" s="63">
        <f>'Planilha base'!$F$14/176</f>
        <v>76.31948863636363</v>
      </c>
      <c r="F82" s="50">
        <f>D82*E82</f>
        <v>30367.43790578948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334.42499999999995</v>
      </c>
      <c r="E83" s="63">
        <f>'Planilha base'!$F$16/176</f>
        <v>49.121022727272724</v>
      </c>
      <c r="F83" s="50">
        <f>D83*E83</f>
        <v>16427.29802556818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159.18629999999999</v>
      </c>
      <c r="E84" s="63">
        <f>'Planilha base'!$F$27/176</f>
        <v>10.755852272727273</v>
      </c>
      <c r="F84" s="50">
        <f>D84*E84</f>
        <v>1712.1843266420453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55317.291862222868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48506.920257999707</v>
      </c>
      <c r="E87" s="301">
        <v>0.84040000000000004</v>
      </c>
      <c r="F87" s="50">
        <f>D87*E87</f>
        <v>40765.215784822954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48506.920257999707</v>
      </c>
      <c r="E88" s="301">
        <v>0.3</v>
      </c>
      <c r="F88" s="50">
        <f>D88*E88</f>
        <v>14552.076077399912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31785.159595333418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103824.21212022257</v>
      </c>
      <c r="E91" s="301">
        <v>0.12</v>
      </c>
      <c r="F91" s="50">
        <f>D91*E91</f>
        <v>12458.905454426707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116283.11757464928</v>
      </c>
      <c r="E92" s="301">
        <v>0.16619999999999999</v>
      </c>
      <c r="F92" s="50">
        <f>D92*E92</f>
        <v>19326.254140906709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135609.37171555599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891.5101649999998</v>
      </c>
      <c r="E95" s="321">
        <f>'Custo Gerencial LOTE 03'!$G$81</f>
        <v>42.11</v>
      </c>
      <c r="F95" s="309">
        <f>D95*E95</f>
        <v>37541.49304814999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173150.86476370599</v>
      </c>
      <c r="F97" s="315">
        <f>E97*D97</f>
        <v>173150.86476370599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281" t="s">
        <v>258</v>
      </c>
      <c r="B99" s="647" t="s">
        <v>424</v>
      </c>
      <c r="C99" s="647"/>
      <c r="D99" s="647"/>
      <c r="E99" s="647"/>
      <c r="F99" s="648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147717.72525176074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38453.509891930393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397.89886499999994</v>
      </c>
      <c r="E103" s="63">
        <f>'Planilha base'!$F$14/176</f>
        <v>76.31948863636363</v>
      </c>
      <c r="F103" s="50">
        <f>D103*E103</f>
        <v>30367.43790578948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397.89886499999994</v>
      </c>
      <c r="E104" s="69">
        <f>'Planilha base'!$F$22/176</f>
        <v>16.018863636363637</v>
      </c>
      <c r="F104" s="50">
        <f>D104*E104</f>
        <v>6373.8876594988633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159.18629999999999</v>
      </c>
      <c r="E105" s="63">
        <f>'Planilha base'!$F$27/176</f>
        <v>10.755852272727273</v>
      </c>
      <c r="F105" s="50">
        <f>D105*E105</f>
        <v>1712.1843266420453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43852.382680757422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38453.509891930393</v>
      </c>
      <c r="E108" s="301">
        <v>0.84040000000000004</v>
      </c>
      <c r="F108" s="50">
        <f>D108*E108</f>
        <v>32316.329713178304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38453.509891930393</v>
      </c>
      <c r="E109" s="301">
        <v>0.3</v>
      </c>
      <c r="F109" s="50">
        <f>D109*E109</f>
        <v>11536.052967579117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25197.455175772935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82305.892572687822</v>
      </c>
      <c r="E112" s="301">
        <v>0.12</v>
      </c>
      <c r="F112" s="50">
        <f>D112*E112</f>
        <v>9876.7071087225377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92182.599681410356</v>
      </c>
      <c r="E113" s="301">
        <v>0.16619999999999999</v>
      </c>
      <c r="F113" s="50">
        <f>D113*E113</f>
        <v>15320.748067050399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107503.34774846074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954.98402999999985</v>
      </c>
      <c r="E116" s="321">
        <f>'Custo Gerencial LOTE 03'!$G$81</f>
        <v>42.11</v>
      </c>
      <c r="F116" s="309">
        <f>D116*E116</f>
        <v>40214.377503299991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147717.72525176074</v>
      </c>
      <c r="F118" s="315">
        <f>E118*D118</f>
        <v>147717.72525176074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281" t="s">
        <v>261</v>
      </c>
      <c r="B120" s="647" t="s">
        <v>524</v>
      </c>
      <c r="C120" s="647"/>
      <c r="D120" s="647"/>
      <c r="E120" s="647"/>
      <c r="F120" s="648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602066.12170406175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153297.04230749997</v>
      </c>
      <c r="H123" s="160"/>
    </row>
    <row r="124" spans="1:8" ht="19.899999999999999" customHeight="1" x14ac:dyDescent="0.2">
      <c r="A124" s="291" t="s">
        <v>121</v>
      </c>
      <c r="B124" s="55" t="s">
        <v>463</v>
      </c>
      <c r="C124" s="53" t="s">
        <v>397</v>
      </c>
      <c r="D124" s="480">
        <f>(H124*F1)/K2</f>
        <v>1177.1759999999997</v>
      </c>
      <c r="E124" s="63">
        <f>'Tabela DNIT-Consult'!L10/176</f>
        <v>59.706590909090913</v>
      </c>
      <c r="F124" s="50">
        <f>D124*E124</f>
        <v>70285.165859999994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1177.1759999999997</v>
      </c>
      <c r="E125" s="63">
        <f>'Planilha base'!$F$16/176</f>
        <v>49.121022727272724</v>
      </c>
      <c r="F125" s="50">
        <f>D125*E125</f>
        <v>57824.08904999998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1177.1759999999997</v>
      </c>
      <c r="E126" s="69">
        <f>'Planilha base'!$F$22/176</f>
        <v>16.018863636363637</v>
      </c>
      <c r="F126" s="50">
        <f>D126*E126</f>
        <v>18857.021819999994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588.58799999999985</v>
      </c>
      <c r="E127" s="63">
        <f>'Planilha base'!$F$27/176</f>
        <v>10.755852272727273</v>
      </c>
      <c r="F127" s="50">
        <f>D127*E127</f>
        <v>6330.7655774999985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174819.94704747296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153297.04230749997</v>
      </c>
      <c r="E130" s="301">
        <v>0.84040000000000004</v>
      </c>
      <c r="F130" s="50">
        <f>D130*E130</f>
        <v>128830.83435522298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153297.04230749997</v>
      </c>
      <c r="E131" s="301">
        <v>0.3</v>
      </c>
      <c r="F131" s="50">
        <f>D131*E131</f>
        <v>45989.11269224999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100451.04758908885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328116.98935497296</v>
      </c>
      <c r="E134" s="301">
        <v>0.12</v>
      </c>
      <c r="F134" s="50">
        <f>D134*E134</f>
        <v>39374.038722596757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367491.02807756973</v>
      </c>
      <c r="E135" s="301">
        <v>0.16619999999999999</v>
      </c>
      <c r="F135" s="50">
        <f>D135*E135</f>
        <v>61077.008866492084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428568.03694406181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4120.1159999999991</v>
      </c>
      <c r="E138" s="321">
        <f>'Custo Gerencial LOTE 03'!$G$81</f>
        <v>42.11</v>
      </c>
      <c r="F138" s="309">
        <f>D138*E138</f>
        <v>173498.08475999997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602066.12170406175</v>
      </c>
      <c r="F140" s="315">
        <f>E140*D140</f>
        <v>7224793.460448741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437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69" t="s">
        <v>490</v>
      </c>
      <c r="F143" s="670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2720722.6277576229</v>
      </c>
      <c r="F145" s="94">
        <f t="shared" ref="F145:F150" si="0">ROUND(D145*E145,2)</f>
        <v>2720722.63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380913.10515051935</v>
      </c>
      <c r="F146" s="94">
        <f t="shared" si="0"/>
        <v>380913.11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265292.16014129639</v>
      </c>
      <c r="F147" s="94">
        <f t="shared" si="0"/>
        <v>265292.15999999997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173150.86476370599</v>
      </c>
      <c r="F148" s="94">
        <f t="shared" si="0"/>
        <v>173150.86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147717.72525176074</v>
      </c>
      <c r="F149" s="94">
        <f t="shared" si="0"/>
        <v>147717.73000000001</v>
      </c>
    </row>
    <row r="150" spans="1:12" ht="19.899999999999999" customHeight="1" thickBot="1" x14ac:dyDescent="0.25">
      <c r="A150" s="573" t="str">
        <f>A120</f>
        <v>F</v>
      </c>
      <c r="B150" s="387" t="str">
        <f>B120</f>
        <v>Relatório de Apoio no Acompanhamento da Conservação, Manutenção, Operação e Obras</v>
      </c>
      <c r="C150" s="388"/>
      <c r="D150" s="555">
        <f>D140</f>
        <v>12</v>
      </c>
      <c r="E150" s="577">
        <f>E140</f>
        <v>602066.12170406175</v>
      </c>
      <c r="F150" s="389">
        <f t="shared" si="0"/>
        <v>7224793.46</v>
      </c>
      <c r="I150" s="391"/>
      <c r="J150" s="391"/>
      <c r="K150" s="391"/>
      <c r="L150" s="391"/>
    </row>
    <row r="151" spans="1:12" ht="19.899999999999999" customHeight="1" thickBot="1" x14ac:dyDescent="0.25">
      <c r="D151" s="386"/>
      <c r="E151" s="552" t="s">
        <v>195</v>
      </c>
      <c r="F151" s="553">
        <f>ROUND(SUM(F145:F150),2)</f>
        <v>10912589.949999999</v>
      </c>
      <c r="I151" s="391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E143:F143"/>
    <mergeCell ref="D143:D144"/>
    <mergeCell ref="A143:A144"/>
    <mergeCell ref="B143:C144"/>
    <mergeCell ref="B120:F120"/>
    <mergeCell ref="A142:F142"/>
    <mergeCell ref="J3:O3"/>
    <mergeCell ref="B30:F30"/>
    <mergeCell ref="B54:F54"/>
    <mergeCell ref="B78:F78"/>
    <mergeCell ref="B99:F9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82"/>
  <sheetViews>
    <sheetView showGridLines="0" topLeftCell="A40" zoomScale="85" zoomScaleNormal="85" zoomScaleSheetLayoutView="85" zoomScalePageLayoutView="70" workbookViewId="0">
      <selection activeCell="E57" sqref="E57"/>
    </sheetView>
  </sheetViews>
  <sheetFormatPr defaultColWidth="8.7109375" defaultRowHeight="15" x14ac:dyDescent="0.25"/>
  <cols>
    <col min="1" max="1" width="8.7109375" style="17" customWidth="1"/>
    <col min="2" max="2" width="6.28515625" style="17" customWidth="1"/>
    <col min="3" max="3" width="59.140625" style="17" customWidth="1"/>
    <col min="4" max="4" width="14.28515625" style="83" bestFit="1" customWidth="1"/>
    <col min="5" max="5" width="13.140625" style="17" customWidth="1"/>
    <col min="6" max="6" width="16" style="17" customWidth="1"/>
    <col min="7" max="7" width="15.28515625" style="17" customWidth="1"/>
    <col min="8" max="8" width="9" style="17" customWidth="1"/>
    <col min="9" max="10" width="9.5703125" style="18" customWidth="1"/>
    <col min="11" max="18" width="9.5703125" style="17" customWidth="1"/>
    <col min="19" max="256" width="8.7109375" style="17"/>
    <col min="257" max="258" width="10.7109375" style="17" customWidth="1"/>
    <col min="259" max="259" width="36.7109375" style="17" customWidth="1"/>
    <col min="260" max="260" width="35.42578125" style="17" customWidth="1"/>
    <col min="261" max="261" width="14.140625" style="17" customWidth="1"/>
    <col min="262" max="262" width="16" style="17" customWidth="1"/>
    <col min="263" max="263" width="19.28515625" style="17" customWidth="1"/>
    <col min="264" max="264" width="15" style="17" customWidth="1"/>
    <col min="265" max="265" width="9.7109375" style="17" bestFit="1" customWidth="1"/>
    <col min="266" max="512" width="8.7109375" style="17"/>
    <col min="513" max="514" width="10.7109375" style="17" customWidth="1"/>
    <col min="515" max="515" width="36.7109375" style="17" customWidth="1"/>
    <col min="516" max="516" width="35.42578125" style="17" customWidth="1"/>
    <col min="517" max="517" width="14.140625" style="17" customWidth="1"/>
    <col min="518" max="518" width="16" style="17" customWidth="1"/>
    <col min="519" max="519" width="19.28515625" style="17" customWidth="1"/>
    <col min="520" max="520" width="15" style="17" customWidth="1"/>
    <col min="521" max="521" width="9.7109375" style="17" bestFit="1" customWidth="1"/>
    <col min="522" max="768" width="8.7109375" style="17"/>
    <col min="769" max="770" width="10.7109375" style="17" customWidth="1"/>
    <col min="771" max="771" width="36.7109375" style="17" customWidth="1"/>
    <col min="772" max="772" width="35.42578125" style="17" customWidth="1"/>
    <col min="773" max="773" width="14.140625" style="17" customWidth="1"/>
    <col min="774" max="774" width="16" style="17" customWidth="1"/>
    <col min="775" max="775" width="19.28515625" style="17" customWidth="1"/>
    <col min="776" max="776" width="15" style="17" customWidth="1"/>
    <col min="777" max="777" width="9.7109375" style="17" bestFit="1" customWidth="1"/>
    <col min="778" max="1024" width="8.7109375" style="17"/>
    <col min="1025" max="1026" width="10.7109375" style="17" customWidth="1"/>
    <col min="1027" max="1027" width="36.7109375" style="17" customWidth="1"/>
    <col min="1028" max="1028" width="35.42578125" style="17" customWidth="1"/>
    <col min="1029" max="1029" width="14.140625" style="17" customWidth="1"/>
    <col min="1030" max="1030" width="16" style="17" customWidth="1"/>
    <col min="1031" max="1031" width="19.28515625" style="17" customWidth="1"/>
    <col min="1032" max="1032" width="15" style="17" customWidth="1"/>
    <col min="1033" max="1033" width="9.7109375" style="17" bestFit="1" customWidth="1"/>
    <col min="1034" max="1280" width="8.7109375" style="17"/>
    <col min="1281" max="1282" width="10.7109375" style="17" customWidth="1"/>
    <col min="1283" max="1283" width="36.7109375" style="17" customWidth="1"/>
    <col min="1284" max="1284" width="35.42578125" style="17" customWidth="1"/>
    <col min="1285" max="1285" width="14.140625" style="17" customWidth="1"/>
    <col min="1286" max="1286" width="16" style="17" customWidth="1"/>
    <col min="1287" max="1287" width="19.28515625" style="17" customWidth="1"/>
    <col min="1288" max="1288" width="15" style="17" customWidth="1"/>
    <col min="1289" max="1289" width="9.7109375" style="17" bestFit="1" customWidth="1"/>
    <col min="1290" max="1536" width="8.7109375" style="17"/>
    <col min="1537" max="1538" width="10.7109375" style="17" customWidth="1"/>
    <col min="1539" max="1539" width="36.7109375" style="17" customWidth="1"/>
    <col min="1540" max="1540" width="35.42578125" style="17" customWidth="1"/>
    <col min="1541" max="1541" width="14.140625" style="17" customWidth="1"/>
    <col min="1542" max="1542" width="16" style="17" customWidth="1"/>
    <col min="1543" max="1543" width="19.28515625" style="17" customWidth="1"/>
    <col min="1544" max="1544" width="15" style="17" customWidth="1"/>
    <col min="1545" max="1545" width="9.7109375" style="17" bestFit="1" customWidth="1"/>
    <col min="1546" max="1792" width="8.7109375" style="17"/>
    <col min="1793" max="1794" width="10.7109375" style="17" customWidth="1"/>
    <col min="1795" max="1795" width="36.7109375" style="17" customWidth="1"/>
    <col min="1796" max="1796" width="35.42578125" style="17" customWidth="1"/>
    <col min="1797" max="1797" width="14.140625" style="17" customWidth="1"/>
    <col min="1798" max="1798" width="16" style="17" customWidth="1"/>
    <col min="1799" max="1799" width="19.28515625" style="17" customWidth="1"/>
    <col min="1800" max="1800" width="15" style="17" customWidth="1"/>
    <col min="1801" max="1801" width="9.7109375" style="17" bestFit="1" customWidth="1"/>
    <col min="1802" max="2048" width="8.7109375" style="17"/>
    <col min="2049" max="2050" width="10.7109375" style="17" customWidth="1"/>
    <col min="2051" max="2051" width="36.7109375" style="17" customWidth="1"/>
    <col min="2052" max="2052" width="35.42578125" style="17" customWidth="1"/>
    <col min="2053" max="2053" width="14.140625" style="17" customWidth="1"/>
    <col min="2054" max="2054" width="16" style="17" customWidth="1"/>
    <col min="2055" max="2055" width="19.28515625" style="17" customWidth="1"/>
    <col min="2056" max="2056" width="15" style="17" customWidth="1"/>
    <col min="2057" max="2057" width="9.7109375" style="17" bestFit="1" customWidth="1"/>
    <col min="2058" max="2304" width="8.7109375" style="17"/>
    <col min="2305" max="2306" width="10.7109375" style="17" customWidth="1"/>
    <col min="2307" max="2307" width="36.7109375" style="17" customWidth="1"/>
    <col min="2308" max="2308" width="35.42578125" style="17" customWidth="1"/>
    <col min="2309" max="2309" width="14.140625" style="17" customWidth="1"/>
    <col min="2310" max="2310" width="16" style="17" customWidth="1"/>
    <col min="2311" max="2311" width="19.28515625" style="17" customWidth="1"/>
    <col min="2312" max="2312" width="15" style="17" customWidth="1"/>
    <col min="2313" max="2313" width="9.7109375" style="17" bestFit="1" customWidth="1"/>
    <col min="2314" max="2560" width="8.7109375" style="17"/>
    <col min="2561" max="2562" width="10.7109375" style="17" customWidth="1"/>
    <col min="2563" max="2563" width="36.7109375" style="17" customWidth="1"/>
    <col min="2564" max="2564" width="35.42578125" style="17" customWidth="1"/>
    <col min="2565" max="2565" width="14.140625" style="17" customWidth="1"/>
    <col min="2566" max="2566" width="16" style="17" customWidth="1"/>
    <col min="2567" max="2567" width="19.28515625" style="17" customWidth="1"/>
    <col min="2568" max="2568" width="15" style="17" customWidth="1"/>
    <col min="2569" max="2569" width="9.7109375" style="17" bestFit="1" customWidth="1"/>
    <col min="2570" max="2816" width="8.7109375" style="17"/>
    <col min="2817" max="2818" width="10.7109375" style="17" customWidth="1"/>
    <col min="2819" max="2819" width="36.7109375" style="17" customWidth="1"/>
    <col min="2820" max="2820" width="35.42578125" style="17" customWidth="1"/>
    <col min="2821" max="2821" width="14.140625" style="17" customWidth="1"/>
    <col min="2822" max="2822" width="16" style="17" customWidth="1"/>
    <col min="2823" max="2823" width="19.28515625" style="17" customWidth="1"/>
    <col min="2824" max="2824" width="15" style="17" customWidth="1"/>
    <col min="2825" max="2825" width="9.7109375" style="17" bestFit="1" customWidth="1"/>
    <col min="2826" max="3072" width="8.7109375" style="17"/>
    <col min="3073" max="3074" width="10.7109375" style="17" customWidth="1"/>
    <col min="3075" max="3075" width="36.7109375" style="17" customWidth="1"/>
    <col min="3076" max="3076" width="35.42578125" style="17" customWidth="1"/>
    <col min="3077" max="3077" width="14.140625" style="17" customWidth="1"/>
    <col min="3078" max="3078" width="16" style="17" customWidth="1"/>
    <col min="3079" max="3079" width="19.28515625" style="17" customWidth="1"/>
    <col min="3080" max="3080" width="15" style="17" customWidth="1"/>
    <col min="3081" max="3081" width="9.7109375" style="17" bestFit="1" customWidth="1"/>
    <col min="3082" max="3328" width="8.7109375" style="17"/>
    <col min="3329" max="3330" width="10.7109375" style="17" customWidth="1"/>
    <col min="3331" max="3331" width="36.7109375" style="17" customWidth="1"/>
    <col min="3332" max="3332" width="35.42578125" style="17" customWidth="1"/>
    <col min="3333" max="3333" width="14.140625" style="17" customWidth="1"/>
    <col min="3334" max="3334" width="16" style="17" customWidth="1"/>
    <col min="3335" max="3335" width="19.28515625" style="17" customWidth="1"/>
    <col min="3336" max="3336" width="15" style="17" customWidth="1"/>
    <col min="3337" max="3337" width="9.7109375" style="17" bestFit="1" customWidth="1"/>
    <col min="3338" max="3584" width="8.7109375" style="17"/>
    <col min="3585" max="3586" width="10.7109375" style="17" customWidth="1"/>
    <col min="3587" max="3587" width="36.7109375" style="17" customWidth="1"/>
    <col min="3588" max="3588" width="35.42578125" style="17" customWidth="1"/>
    <col min="3589" max="3589" width="14.140625" style="17" customWidth="1"/>
    <col min="3590" max="3590" width="16" style="17" customWidth="1"/>
    <col min="3591" max="3591" width="19.28515625" style="17" customWidth="1"/>
    <col min="3592" max="3592" width="15" style="17" customWidth="1"/>
    <col min="3593" max="3593" width="9.7109375" style="17" bestFit="1" customWidth="1"/>
    <col min="3594" max="3840" width="8.7109375" style="17"/>
    <col min="3841" max="3842" width="10.7109375" style="17" customWidth="1"/>
    <col min="3843" max="3843" width="36.7109375" style="17" customWidth="1"/>
    <col min="3844" max="3844" width="35.42578125" style="17" customWidth="1"/>
    <col min="3845" max="3845" width="14.140625" style="17" customWidth="1"/>
    <col min="3846" max="3846" width="16" style="17" customWidth="1"/>
    <col min="3847" max="3847" width="19.28515625" style="17" customWidth="1"/>
    <col min="3848" max="3848" width="15" style="17" customWidth="1"/>
    <col min="3849" max="3849" width="9.7109375" style="17" bestFit="1" customWidth="1"/>
    <col min="3850" max="4096" width="8.7109375" style="17"/>
    <col min="4097" max="4098" width="10.7109375" style="17" customWidth="1"/>
    <col min="4099" max="4099" width="36.7109375" style="17" customWidth="1"/>
    <col min="4100" max="4100" width="35.42578125" style="17" customWidth="1"/>
    <col min="4101" max="4101" width="14.140625" style="17" customWidth="1"/>
    <col min="4102" max="4102" width="16" style="17" customWidth="1"/>
    <col min="4103" max="4103" width="19.28515625" style="17" customWidth="1"/>
    <col min="4104" max="4104" width="15" style="17" customWidth="1"/>
    <col min="4105" max="4105" width="9.7109375" style="17" bestFit="1" customWidth="1"/>
    <col min="4106" max="4352" width="8.7109375" style="17"/>
    <col min="4353" max="4354" width="10.7109375" style="17" customWidth="1"/>
    <col min="4355" max="4355" width="36.7109375" style="17" customWidth="1"/>
    <col min="4356" max="4356" width="35.42578125" style="17" customWidth="1"/>
    <col min="4357" max="4357" width="14.140625" style="17" customWidth="1"/>
    <col min="4358" max="4358" width="16" style="17" customWidth="1"/>
    <col min="4359" max="4359" width="19.28515625" style="17" customWidth="1"/>
    <col min="4360" max="4360" width="15" style="17" customWidth="1"/>
    <col min="4361" max="4361" width="9.7109375" style="17" bestFit="1" customWidth="1"/>
    <col min="4362" max="4608" width="8.7109375" style="17"/>
    <col min="4609" max="4610" width="10.7109375" style="17" customWidth="1"/>
    <col min="4611" max="4611" width="36.7109375" style="17" customWidth="1"/>
    <col min="4612" max="4612" width="35.42578125" style="17" customWidth="1"/>
    <col min="4613" max="4613" width="14.140625" style="17" customWidth="1"/>
    <col min="4614" max="4614" width="16" style="17" customWidth="1"/>
    <col min="4615" max="4615" width="19.28515625" style="17" customWidth="1"/>
    <col min="4616" max="4616" width="15" style="17" customWidth="1"/>
    <col min="4617" max="4617" width="9.7109375" style="17" bestFit="1" customWidth="1"/>
    <col min="4618" max="4864" width="8.7109375" style="17"/>
    <col min="4865" max="4866" width="10.7109375" style="17" customWidth="1"/>
    <col min="4867" max="4867" width="36.7109375" style="17" customWidth="1"/>
    <col min="4868" max="4868" width="35.42578125" style="17" customWidth="1"/>
    <col min="4869" max="4869" width="14.140625" style="17" customWidth="1"/>
    <col min="4870" max="4870" width="16" style="17" customWidth="1"/>
    <col min="4871" max="4871" width="19.28515625" style="17" customWidth="1"/>
    <col min="4872" max="4872" width="15" style="17" customWidth="1"/>
    <col min="4873" max="4873" width="9.7109375" style="17" bestFit="1" customWidth="1"/>
    <col min="4874" max="5120" width="8.7109375" style="17"/>
    <col min="5121" max="5122" width="10.7109375" style="17" customWidth="1"/>
    <col min="5123" max="5123" width="36.7109375" style="17" customWidth="1"/>
    <col min="5124" max="5124" width="35.42578125" style="17" customWidth="1"/>
    <col min="5125" max="5125" width="14.140625" style="17" customWidth="1"/>
    <col min="5126" max="5126" width="16" style="17" customWidth="1"/>
    <col min="5127" max="5127" width="19.28515625" style="17" customWidth="1"/>
    <col min="5128" max="5128" width="15" style="17" customWidth="1"/>
    <col min="5129" max="5129" width="9.7109375" style="17" bestFit="1" customWidth="1"/>
    <col min="5130" max="5376" width="8.7109375" style="17"/>
    <col min="5377" max="5378" width="10.7109375" style="17" customWidth="1"/>
    <col min="5379" max="5379" width="36.7109375" style="17" customWidth="1"/>
    <col min="5380" max="5380" width="35.42578125" style="17" customWidth="1"/>
    <col min="5381" max="5381" width="14.140625" style="17" customWidth="1"/>
    <col min="5382" max="5382" width="16" style="17" customWidth="1"/>
    <col min="5383" max="5383" width="19.28515625" style="17" customWidth="1"/>
    <col min="5384" max="5384" width="15" style="17" customWidth="1"/>
    <col min="5385" max="5385" width="9.7109375" style="17" bestFit="1" customWidth="1"/>
    <col min="5386" max="5632" width="8.7109375" style="17"/>
    <col min="5633" max="5634" width="10.7109375" style="17" customWidth="1"/>
    <col min="5635" max="5635" width="36.7109375" style="17" customWidth="1"/>
    <col min="5636" max="5636" width="35.42578125" style="17" customWidth="1"/>
    <col min="5637" max="5637" width="14.140625" style="17" customWidth="1"/>
    <col min="5638" max="5638" width="16" style="17" customWidth="1"/>
    <col min="5639" max="5639" width="19.28515625" style="17" customWidth="1"/>
    <col min="5640" max="5640" width="15" style="17" customWidth="1"/>
    <col min="5641" max="5641" width="9.7109375" style="17" bestFit="1" customWidth="1"/>
    <col min="5642" max="5888" width="8.7109375" style="17"/>
    <col min="5889" max="5890" width="10.7109375" style="17" customWidth="1"/>
    <col min="5891" max="5891" width="36.7109375" style="17" customWidth="1"/>
    <col min="5892" max="5892" width="35.42578125" style="17" customWidth="1"/>
    <col min="5893" max="5893" width="14.140625" style="17" customWidth="1"/>
    <col min="5894" max="5894" width="16" style="17" customWidth="1"/>
    <col min="5895" max="5895" width="19.28515625" style="17" customWidth="1"/>
    <col min="5896" max="5896" width="15" style="17" customWidth="1"/>
    <col min="5897" max="5897" width="9.7109375" style="17" bestFit="1" customWidth="1"/>
    <col min="5898" max="6144" width="8.7109375" style="17"/>
    <col min="6145" max="6146" width="10.7109375" style="17" customWidth="1"/>
    <col min="6147" max="6147" width="36.7109375" style="17" customWidth="1"/>
    <col min="6148" max="6148" width="35.42578125" style="17" customWidth="1"/>
    <col min="6149" max="6149" width="14.140625" style="17" customWidth="1"/>
    <col min="6150" max="6150" width="16" style="17" customWidth="1"/>
    <col min="6151" max="6151" width="19.28515625" style="17" customWidth="1"/>
    <col min="6152" max="6152" width="15" style="17" customWidth="1"/>
    <col min="6153" max="6153" width="9.7109375" style="17" bestFit="1" customWidth="1"/>
    <col min="6154" max="6400" width="8.7109375" style="17"/>
    <col min="6401" max="6402" width="10.7109375" style="17" customWidth="1"/>
    <col min="6403" max="6403" width="36.7109375" style="17" customWidth="1"/>
    <col min="6404" max="6404" width="35.42578125" style="17" customWidth="1"/>
    <col min="6405" max="6405" width="14.140625" style="17" customWidth="1"/>
    <col min="6406" max="6406" width="16" style="17" customWidth="1"/>
    <col min="6407" max="6407" width="19.28515625" style="17" customWidth="1"/>
    <col min="6408" max="6408" width="15" style="17" customWidth="1"/>
    <col min="6409" max="6409" width="9.7109375" style="17" bestFit="1" customWidth="1"/>
    <col min="6410" max="6656" width="8.7109375" style="17"/>
    <col min="6657" max="6658" width="10.7109375" style="17" customWidth="1"/>
    <col min="6659" max="6659" width="36.7109375" style="17" customWidth="1"/>
    <col min="6660" max="6660" width="35.42578125" style="17" customWidth="1"/>
    <col min="6661" max="6661" width="14.140625" style="17" customWidth="1"/>
    <col min="6662" max="6662" width="16" style="17" customWidth="1"/>
    <col min="6663" max="6663" width="19.28515625" style="17" customWidth="1"/>
    <col min="6664" max="6664" width="15" style="17" customWidth="1"/>
    <col min="6665" max="6665" width="9.7109375" style="17" bestFit="1" customWidth="1"/>
    <col min="6666" max="6912" width="8.7109375" style="17"/>
    <col min="6913" max="6914" width="10.7109375" style="17" customWidth="1"/>
    <col min="6915" max="6915" width="36.7109375" style="17" customWidth="1"/>
    <col min="6916" max="6916" width="35.42578125" style="17" customWidth="1"/>
    <col min="6917" max="6917" width="14.140625" style="17" customWidth="1"/>
    <col min="6918" max="6918" width="16" style="17" customWidth="1"/>
    <col min="6919" max="6919" width="19.28515625" style="17" customWidth="1"/>
    <col min="6920" max="6920" width="15" style="17" customWidth="1"/>
    <col min="6921" max="6921" width="9.7109375" style="17" bestFit="1" customWidth="1"/>
    <col min="6922" max="7168" width="8.7109375" style="17"/>
    <col min="7169" max="7170" width="10.7109375" style="17" customWidth="1"/>
    <col min="7171" max="7171" width="36.7109375" style="17" customWidth="1"/>
    <col min="7172" max="7172" width="35.42578125" style="17" customWidth="1"/>
    <col min="7173" max="7173" width="14.140625" style="17" customWidth="1"/>
    <col min="7174" max="7174" width="16" style="17" customWidth="1"/>
    <col min="7175" max="7175" width="19.28515625" style="17" customWidth="1"/>
    <col min="7176" max="7176" width="15" style="17" customWidth="1"/>
    <col min="7177" max="7177" width="9.7109375" style="17" bestFit="1" customWidth="1"/>
    <col min="7178" max="7424" width="8.7109375" style="17"/>
    <col min="7425" max="7426" width="10.7109375" style="17" customWidth="1"/>
    <col min="7427" max="7427" width="36.7109375" style="17" customWidth="1"/>
    <col min="7428" max="7428" width="35.42578125" style="17" customWidth="1"/>
    <col min="7429" max="7429" width="14.140625" style="17" customWidth="1"/>
    <col min="7430" max="7430" width="16" style="17" customWidth="1"/>
    <col min="7431" max="7431" width="19.28515625" style="17" customWidth="1"/>
    <col min="7432" max="7432" width="15" style="17" customWidth="1"/>
    <col min="7433" max="7433" width="9.7109375" style="17" bestFit="1" customWidth="1"/>
    <col min="7434" max="7680" width="8.7109375" style="17"/>
    <col min="7681" max="7682" width="10.7109375" style="17" customWidth="1"/>
    <col min="7683" max="7683" width="36.7109375" style="17" customWidth="1"/>
    <col min="7684" max="7684" width="35.42578125" style="17" customWidth="1"/>
    <col min="7685" max="7685" width="14.140625" style="17" customWidth="1"/>
    <col min="7686" max="7686" width="16" style="17" customWidth="1"/>
    <col min="7687" max="7687" width="19.28515625" style="17" customWidth="1"/>
    <col min="7688" max="7688" width="15" style="17" customWidth="1"/>
    <col min="7689" max="7689" width="9.7109375" style="17" bestFit="1" customWidth="1"/>
    <col min="7690" max="7936" width="8.7109375" style="17"/>
    <col min="7937" max="7938" width="10.7109375" style="17" customWidth="1"/>
    <col min="7939" max="7939" width="36.7109375" style="17" customWidth="1"/>
    <col min="7940" max="7940" width="35.42578125" style="17" customWidth="1"/>
    <col min="7941" max="7941" width="14.140625" style="17" customWidth="1"/>
    <col min="7942" max="7942" width="16" style="17" customWidth="1"/>
    <col min="7943" max="7943" width="19.28515625" style="17" customWidth="1"/>
    <col min="7944" max="7944" width="15" style="17" customWidth="1"/>
    <col min="7945" max="7945" width="9.7109375" style="17" bestFit="1" customWidth="1"/>
    <col min="7946" max="8192" width="8.7109375" style="17"/>
    <col min="8193" max="8194" width="10.7109375" style="17" customWidth="1"/>
    <col min="8195" max="8195" width="36.7109375" style="17" customWidth="1"/>
    <col min="8196" max="8196" width="35.42578125" style="17" customWidth="1"/>
    <col min="8197" max="8197" width="14.140625" style="17" customWidth="1"/>
    <col min="8198" max="8198" width="16" style="17" customWidth="1"/>
    <col min="8199" max="8199" width="19.28515625" style="17" customWidth="1"/>
    <col min="8200" max="8200" width="15" style="17" customWidth="1"/>
    <col min="8201" max="8201" width="9.7109375" style="17" bestFit="1" customWidth="1"/>
    <col min="8202" max="8448" width="8.7109375" style="17"/>
    <col min="8449" max="8450" width="10.7109375" style="17" customWidth="1"/>
    <col min="8451" max="8451" width="36.7109375" style="17" customWidth="1"/>
    <col min="8452" max="8452" width="35.42578125" style="17" customWidth="1"/>
    <col min="8453" max="8453" width="14.140625" style="17" customWidth="1"/>
    <col min="8454" max="8454" width="16" style="17" customWidth="1"/>
    <col min="8455" max="8455" width="19.28515625" style="17" customWidth="1"/>
    <col min="8456" max="8456" width="15" style="17" customWidth="1"/>
    <col min="8457" max="8457" width="9.7109375" style="17" bestFit="1" customWidth="1"/>
    <col min="8458" max="8704" width="8.7109375" style="17"/>
    <col min="8705" max="8706" width="10.7109375" style="17" customWidth="1"/>
    <col min="8707" max="8707" width="36.7109375" style="17" customWidth="1"/>
    <col min="8708" max="8708" width="35.42578125" style="17" customWidth="1"/>
    <col min="8709" max="8709" width="14.140625" style="17" customWidth="1"/>
    <col min="8710" max="8710" width="16" style="17" customWidth="1"/>
    <col min="8711" max="8711" width="19.28515625" style="17" customWidth="1"/>
    <col min="8712" max="8712" width="15" style="17" customWidth="1"/>
    <col min="8713" max="8713" width="9.7109375" style="17" bestFit="1" customWidth="1"/>
    <col min="8714" max="8960" width="8.7109375" style="17"/>
    <col min="8961" max="8962" width="10.7109375" style="17" customWidth="1"/>
    <col min="8963" max="8963" width="36.7109375" style="17" customWidth="1"/>
    <col min="8964" max="8964" width="35.42578125" style="17" customWidth="1"/>
    <col min="8965" max="8965" width="14.140625" style="17" customWidth="1"/>
    <col min="8966" max="8966" width="16" style="17" customWidth="1"/>
    <col min="8967" max="8967" width="19.28515625" style="17" customWidth="1"/>
    <col min="8968" max="8968" width="15" style="17" customWidth="1"/>
    <col min="8969" max="8969" width="9.7109375" style="17" bestFit="1" customWidth="1"/>
    <col min="8970" max="9216" width="8.7109375" style="17"/>
    <col min="9217" max="9218" width="10.7109375" style="17" customWidth="1"/>
    <col min="9219" max="9219" width="36.7109375" style="17" customWidth="1"/>
    <col min="9220" max="9220" width="35.42578125" style="17" customWidth="1"/>
    <col min="9221" max="9221" width="14.140625" style="17" customWidth="1"/>
    <col min="9222" max="9222" width="16" style="17" customWidth="1"/>
    <col min="9223" max="9223" width="19.28515625" style="17" customWidth="1"/>
    <col min="9224" max="9224" width="15" style="17" customWidth="1"/>
    <col min="9225" max="9225" width="9.7109375" style="17" bestFit="1" customWidth="1"/>
    <col min="9226" max="9472" width="8.7109375" style="17"/>
    <col min="9473" max="9474" width="10.7109375" style="17" customWidth="1"/>
    <col min="9475" max="9475" width="36.7109375" style="17" customWidth="1"/>
    <col min="9476" max="9476" width="35.42578125" style="17" customWidth="1"/>
    <col min="9477" max="9477" width="14.140625" style="17" customWidth="1"/>
    <col min="9478" max="9478" width="16" style="17" customWidth="1"/>
    <col min="9479" max="9479" width="19.28515625" style="17" customWidth="1"/>
    <col min="9480" max="9480" width="15" style="17" customWidth="1"/>
    <col min="9481" max="9481" width="9.7109375" style="17" bestFit="1" customWidth="1"/>
    <col min="9482" max="9728" width="8.7109375" style="17"/>
    <col min="9729" max="9730" width="10.7109375" style="17" customWidth="1"/>
    <col min="9731" max="9731" width="36.7109375" style="17" customWidth="1"/>
    <col min="9732" max="9732" width="35.42578125" style="17" customWidth="1"/>
    <col min="9733" max="9733" width="14.140625" style="17" customWidth="1"/>
    <col min="9734" max="9734" width="16" style="17" customWidth="1"/>
    <col min="9735" max="9735" width="19.28515625" style="17" customWidth="1"/>
    <col min="9736" max="9736" width="15" style="17" customWidth="1"/>
    <col min="9737" max="9737" width="9.7109375" style="17" bestFit="1" customWidth="1"/>
    <col min="9738" max="9984" width="8.7109375" style="17"/>
    <col min="9985" max="9986" width="10.7109375" style="17" customWidth="1"/>
    <col min="9987" max="9987" width="36.7109375" style="17" customWidth="1"/>
    <col min="9988" max="9988" width="35.42578125" style="17" customWidth="1"/>
    <col min="9989" max="9989" width="14.140625" style="17" customWidth="1"/>
    <col min="9990" max="9990" width="16" style="17" customWidth="1"/>
    <col min="9991" max="9991" width="19.28515625" style="17" customWidth="1"/>
    <col min="9992" max="9992" width="15" style="17" customWidth="1"/>
    <col min="9993" max="9993" width="9.7109375" style="17" bestFit="1" customWidth="1"/>
    <col min="9994" max="10240" width="8.7109375" style="17"/>
    <col min="10241" max="10242" width="10.7109375" style="17" customWidth="1"/>
    <col min="10243" max="10243" width="36.7109375" style="17" customWidth="1"/>
    <col min="10244" max="10244" width="35.42578125" style="17" customWidth="1"/>
    <col min="10245" max="10245" width="14.140625" style="17" customWidth="1"/>
    <col min="10246" max="10246" width="16" style="17" customWidth="1"/>
    <col min="10247" max="10247" width="19.28515625" style="17" customWidth="1"/>
    <col min="10248" max="10248" width="15" style="17" customWidth="1"/>
    <col min="10249" max="10249" width="9.7109375" style="17" bestFit="1" customWidth="1"/>
    <col min="10250" max="10496" width="8.7109375" style="17"/>
    <col min="10497" max="10498" width="10.7109375" style="17" customWidth="1"/>
    <col min="10499" max="10499" width="36.7109375" style="17" customWidth="1"/>
    <col min="10500" max="10500" width="35.42578125" style="17" customWidth="1"/>
    <col min="10501" max="10501" width="14.140625" style="17" customWidth="1"/>
    <col min="10502" max="10502" width="16" style="17" customWidth="1"/>
    <col min="10503" max="10503" width="19.28515625" style="17" customWidth="1"/>
    <col min="10504" max="10504" width="15" style="17" customWidth="1"/>
    <col min="10505" max="10505" width="9.7109375" style="17" bestFit="1" customWidth="1"/>
    <col min="10506" max="10752" width="8.7109375" style="17"/>
    <col min="10753" max="10754" width="10.7109375" style="17" customWidth="1"/>
    <col min="10755" max="10755" width="36.7109375" style="17" customWidth="1"/>
    <col min="10756" max="10756" width="35.42578125" style="17" customWidth="1"/>
    <col min="10757" max="10757" width="14.140625" style="17" customWidth="1"/>
    <col min="10758" max="10758" width="16" style="17" customWidth="1"/>
    <col min="10759" max="10759" width="19.28515625" style="17" customWidth="1"/>
    <col min="10760" max="10760" width="15" style="17" customWidth="1"/>
    <col min="10761" max="10761" width="9.7109375" style="17" bestFit="1" customWidth="1"/>
    <col min="10762" max="11008" width="8.7109375" style="17"/>
    <col min="11009" max="11010" width="10.7109375" style="17" customWidth="1"/>
    <col min="11011" max="11011" width="36.7109375" style="17" customWidth="1"/>
    <col min="11012" max="11012" width="35.42578125" style="17" customWidth="1"/>
    <col min="11013" max="11013" width="14.140625" style="17" customWidth="1"/>
    <col min="11014" max="11014" width="16" style="17" customWidth="1"/>
    <col min="11015" max="11015" width="19.28515625" style="17" customWidth="1"/>
    <col min="11016" max="11016" width="15" style="17" customWidth="1"/>
    <col min="11017" max="11017" width="9.7109375" style="17" bestFit="1" customWidth="1"/>
    <col min="11018" max="11264" width="8.7109375" style="17"/>
    <col min="11265" max="11266" width="10.7109375" style="17" customWidth="1"/>
    <col min="11267" max="11267" width="36.7109375" style="17" customWidth="1"/>
    <col min="11268" max="11268" width="35.42578125" style="17" customWidth="1"/>
    <col min="11269" max="11269" width="14.140625" style="17" customWidth="1"/>
    <col min="11270" max="11270" width="16" style="17" customWidth="1"/>
    <col min="11271" max="11271" width="19.28515625" style="17" customWidth="1"/>
    <col min="11272" max="11272" width="15" style="17" customWidth="1"/>
    <col min="11273" max="11273" width="9.7109375" style="17" bestFit="1" customWidth="1"/>
    <col min="11274" max="11520" width="8.7109375" style="17"/>
    <col min="11521" max="11522" width="10.7109375" style="17" customWidth="1"/>
    <col min="11523" max="11523" width="36.7109375" style="17" customWidth="1"/>
    <col min="11524" max="11524" width="35.42578125" style="17" customWidth="1"/>
    <col min="11525" max="11525" width="14.140625" style="17" customWidth="1"/>
    <col min="11526" max="11526" width="16" style="17" customWidth="1"/>
    <col min="11527" max="11527" width="19.28515625" style="17" customWidth="1"/>
    <col min="11528" max="11528" width="15" style="17" customWidth="1"/>
    <col min="11529" max="11529" width="9.7109375" style="17" bestFit="1" customWidth="1"/>
    <col min="11530" max="11776" width="8.7109375" style="17"/>
    <col min="11777" max="11778" width="10.7109375" style="17" customWidth="1"/>
    <col min="11779" max="11779" width="36.7109375" style="17" customWidth="1"/>
    <col min="11780" max="11780" width="35.42578125" style="17" customWidth="1"/>
    <col min="11781" max="11781" width="14.140625" style="17" customWidth="1"/>
    <col min="11782" max="11782" width="16" style="17" customWidth="1"/>
    <col min="11783" max="11783" width="19.28515625" style="17" customWidth="1"/>
    <col min="11784" max="11784" width="15" style="17" customWidth="1"/>
    <col min="11785" max="11785" width="9.7109375" style="17" bestFit="1" customWidth="1"/>
    <col min="11786" max="12032" width="8.7109375" style="17"/>
    <col min="12033" max="12034" width="10.7109375" style="17" customWidth="1"/>
    <col min="12035" max="12035" width="36.7109375" style="17" customWidth="1"/>
    <col min="12036" max="12036" width="35.42578125" style="17" customWidth="1"/>
    <col min="12037" max="12037" width="14.140625" style="17" customWidth="1"/>
    <col min="12038" max="12038" width="16" style="17" customWidth="1"/>
    <col min="12039" max="12039" width="19.28515625" style="17" customWidth="1"/>
    <col min="12040" max="12040" width="15" style="17" customWidth="1"/>
    <col min="12041" max="12041" width="9.7109375" style="17" bestFit="1" customWidth="1"/>
    <col min="12042" max="12288" width="8.7109375" style="17"/>
    <col min="12289" max="12290" width="10.7109375" style="17" customWidth="1"/>
    <col min="12291" max="12291" width="36.7109375" style="17" customWidth="1"/>
    <col min="12292" max="12292" width="35.42578125" style="17" customWidth="1"/>
    <col min="12293" max="12293" width="14.140625" style="17" customWidth="1"/>
    <col min="12294" max="12294" width="16" style="17" customWidth="1"/>
    <col min="12295" max="12295" width="19.28515625" style="17" customWidth="1"/>
    <col min="12296" max="12296" width="15" style="17" customWidth="1"/>
    <col min="12297" max="12297" width="9.7109375" style="17" bestFit="1" customWidth="1"/>
    <col min="12298" max="12544" width="8.7109375" style="17"/>
    <col min="12545" max="12546" width="10.7109375" style="17" customWidth="1"/>
    <col min="12547" max="12547" width="36.7109375" style="17" customWidth="1"/>
    <col min="12548" max="12548" width="35.42578125" style="17" customWidth="1"/>
    <col min="12549" max="12549" width="14.140625" style="17" customWidth="1"/>
    <col min="12550" max="12550" width="16" style="17" customWidth="1"/>
    <col min="12551" max="12551" width="19.28515625" style="17" customWidth="1"/>
    <col min="12552" max="12552" width="15" style="17" customWidth="1"/>
    <col min="12553" max="12553" width="9.7109375" style="17" bestFit="1" customWidth="1"/>
    <col min="12554" max="12800" width="8.7109375" style="17"/>
    <col min="12801" max="12802" width="10.7109375" style="17" customWidth="1"/>
    <col min="12803" max="12803" width="36.7109375" style="17" customWidth="1"/>
    <col min="12804" max="12804" width="35.42578125" style="17" customWidth="1"/>
    <col min="12805" max="12805" width="14.140625" style="17" customWidth="1"/>
    <col min="12806" max="12806" width="16" style="17" customWidth="1"/>
    <col min="12807" max="12807" width="19.28515625" style="17" customWidth="1"/>
    <col min="12808" max="12808" width="15" style="17" customWidth="1"/>
    <col min="12809" max="12809" width="9.7109375" style="17" bestFit="1" customWidth="1"/>
    <col min="12810" max="13056" width="8.7109375" style="17"/>
    <col min="13057" max="13058" width="10.7109375" style="17" customWidth="1"/>
    <col min="13059" max="13059" width="36.7109375" style="17" customWidth="1"/>
    <col min="13060" max="13060" width="35.42578125" style="17" customWidth="1"/>
    <col min="13061" max="13061" width="14.140625" style="17" customWidth="1"/>
    <col min="13062" max="13062" width="16" style="17" customWidth="1"/>
    <col min="13063" max="13063" width="19.28515625" style="17" customWidth="1"/>
    <col min="13064" max="13064" width="15" style="17" customWidth="1"/>
    <col min="13065" max="13065" width="9.7109375" style="17" bestFit="1" customWidth="1"/>
    <col min="13066" max="13312" width="8.7109375" style="17"/>
    <col min="13313" max="13314" width="10.7109375" style="17" customWidth="1"/>
    <col min="13315" max="13315" width="36.7109375" style="17" customWidth="1"/>
    <col min="13316" max="13316" width="35.42578125" style="17" customWidth="1"/>
    <col min="13317" max="13317" width="14.140625" style="17" customWidth="1"/>
    <col min="13318" max="13318" width="16" style="17" customWidth="1"/>
    <col min="13319" max="13319" width="19.28515625" style="17" customWidth="1"/>
    <col min="13320" max="13320" width="15" style="17" customWidth="1"/>
    <col min="13321" max="13321" width="9.7109375" style="17" bestFit="1" customWidth="1"/>
    <col min="13322" max="13568" width="8.7109375" style="17"/>
    <col min="13569" max="13570" width="10.7109375" style="17" customWidth="1"/>
    <col min="13571" max="13571" width="36.7109375" style="17" customWidth="1"/>
    <col min="13572" max="13572" width="35.42578125" style="17" customWidth="1"/>
    <col min="13573" max="13573" width="14.140625" style="17" customWidth="1"/>
    <col min="13574" max="13574" width="16" style="17" customWidth="1"/>
    <col min="13575" max="13575" width="19.28515625" style="17" customWidth="1"/>
    <col min="13576" max="13576" width="15" style="17" customWidth="1"/>
    <col min="13577" max="13577" width="9.7109375" style="17" bestFit="1" customWidth="1"/>
    <col min="13578" max="13824" width="8.7109375" style="17"/>
    <col min="13825" max="13826" width="10.7109375" style="17" customWidth="1"/>
    <col min="13827" max="13827" width="36.7109375" style="17" customWidth="1"/>
    <col min="13828" max="13828" width="35.42578125" style="17" customWidth="1"/>
    <col min="13829" max="13829" width="14.140625" style="17" customWidth="1"/>
    <col min="13830" max="13830" width="16" style="17" customWidth="1"/>
    <col min="13831" max="13831" width="19.28515625" style="17" customWidth="1"/>
    <col min="13832" max="13832" width="15" style="17" customWidth="1"/>
    <col min="13833" max="13833" width="9.7109375" style="17" bestFit="1" customWidth="1"/>
    <col min="13834" max="14080" width="8.7109375" style="17"/>
    <col min="14081" max="14082" width="10.7109375" style="17" customWidth="1"/>
    <col min="14083" max="14083" width="36.7109375" style="17" customWidth="1"/>
    <col min="14084" max="14084" width="35.42578125" style="17" customWidth="1"/>
    <col min="14085" max="14085" width="14.140625" style="17" customWidth="1"/>
    <col min="14086" max="14086" width="16" style="17" customWidth="1"/>
    <col min="14087" max="14087" width="19.28515625" style="17" customWidth="1"/>
    <col min="14088" max="14088" width="15" style="17" customWidth="1"/>
    <col min="14089" max="14089" width="9.7109375" style="17" bestFit="1" customWidth="1"/>
    <col min="14090" max="14336" width="8.7109375" style="17"/>
    <col min="14337" max="14338" width="10.7109375" style="17" customWidth="1"/>
    <col min="14339" max="14339" width="36.7109375" style="17" customWidth="1"/>
    <col min="14340" max="14340" width="35.42578125" style="17" customWidth="1"/>
    <col min="14341" max="14341" width="14.140625" style="17" customWidth="1"/>
    <col min="14342" max="14342" width="16" style="17" customWidth="1"/>
    <col min="14343" max="14343" width="19.28515625" style="17" customWidth="1"/>
    <col min="14344" max="14344" width="15" style="17" customWidth="1"/>
    <col min="14345" max="14345" width="9.7109375" style="17" bestFit="1" customWidth="1"/>
    <col min="14346" max="14592" width="8.7109375" style="17"/>
    <col min="14593" max="14594" width="10.7109375" style="17" customWidth="1"/>
    <col min="14595" max="14595" width="36.7109375" style="17" customWidth="1"/>
    <col min="14596" max="14596" width="35.42578125" style="17" customWidth="1"/>
    <col min="14597" max="14597" width="14.140625" style="17" customWidth="1"/>
    <col min="14598" max="14598" width="16" style="17" customWidth="1"/>
    <col min="14599" max="14599" width="19.28515625" style="17" customWidth="1"/>
    <col min="14600" max="14600" width="15" style="17" customWidth="1"/>
    <col min="14601" max="14601" width="9.7109375" style="17" bestFit="1" customWidth="1"/>
    <col min="14602" max="14848" width="8.7109375" style="17"/>
    <col min="14849" max="14850" width="10.7109375" style="17" customWidth="1"/>
    <col min="14851" max="14851" width="36.7109375" style="17" customWidth="1"/>
    <col min="14852" max="14852" width="35.42578125" style="17" customWidth="1"/>
    <col min="14853" max="14853" width="14.140625" style="17" customWidth="1"/>
    <col min="14854" max="14854" width="16" style="17" customWidth="1"/>
    <col min="14855" max="14855" width="19.28515625" style="17" customWidth="1"/>
    <col min="14856" max="14856" width="15" style="17" customWidth="1"/>
    <col min="14857" max="14857" width="9.7109375" style="17" bestFit="1" customWidth="1"/>
    <col min="14858" max="15104" width="8.7109375" style="17"/>
    <col min="15105" max="15106" width="10.7109375" style="17" customWidth="1"/>
    <col min="15107" max="15107" width="36.7109375" style="17" customWidth="1"/>
    <col min="15108" max="15108" width="35.42578125" style="17" customWidth="1"/>
    <col min="15109" max="15109" width="14.140625" style="17" customWidth="1"/>
    <col min="15110" max="15110" width="16" style="17" customWidth="1"/>
    <col min="15111" max="15111" width="19.28515625" style="17" customWidth="1"/>
    <col min="15112" max="15112" width="15" style="17" customWidth="1"/>
    <col min="15113" max="15113" width="9.7109375" style="17" bestFit="1" customWidth="1"/>
    <col min="15114" max="15360" width="8.7109375" style="17"/>
    <col min="15361" max="15362" width="10.7109375" style="17" customWidth="1"/>
    <col min="15363" max="15363" width="36.7109375" style="17" customWidth="1"/>
    <col min="15364" max="15364" width="35.42578125" style="17" customWidth="1"/>
    <col min="15365" max="15365" width="14.140625" style="17" customWidth="1"/>
    <col min="15366" max="15366" width="16" style="17" customWidth="1"/>
    <col min="15367" max="15367" width="19.28515625" style="17" customWidth="1"/>
    <col min="15368" max="15368" width="15" style="17" customWidth="1"/>
    <col min="15369" max="15369" width="9.7109375" style="17" bestFit="1" customWidth="1"/>
    <col min="15370" max="15616" width="8.7109375" style="17"/>
    <col min="15617" max="15618" width="10.7109375" style="17" customWidth="1"/>
    <col min="15619" max="15619" width="36.7109375" style="17" customWidth="1"/>
    <col min="15620" max="15620" width="35.42578125" style="17" customWidth="1"/>
    <col min="15621" max="15621" width="14.140625" style="17" customWidth="1"/>
    <col min="15622" max="15622" width="16" style="17" customWidth="1"/>
    <col min="15623" max="15623" width="19.28515625" style="17" customWidth="1"/>
    <col min="15624" max="15624" width="15" style="17" customWidth="1"/>
    <col min="15625" max="15625" width="9.7109375" style="17" bestFit="1" customWidth="1"/>
    <col min="15626" max="15872" width="8.7109375" style="17"/>
    <col min="15873" max="15874" width="10.7109375" style="17" customWidth="1"/>
    <col min="15875" max="15875" width="36.7109375" style="17" customWidth="1"/>
    <col min="15876" max="15876" width="35.42578125" style="17" customWidth="1"/>
    <col min="15877" max="15877" width="14.140625" style="17" customWidth="1"/>
    <col min="15878" max="15878" width="16" style="17" customWidth="1"/>
    <col min="15879" max="15879" width="19.28515625" style="17" customWidth="1"/>
    <col min="15880" max="15880" width="15" style="17" customWidth="1"/>
    <col min="15881" max="15881" width="9.7109375" style="17" bestFit="1" customWidth="1"/>
    <col min="15882" max="16128" width="8.7109375" style="17"/>
    <col min="16129" max="16130" width="10.7109375" style="17" customWidth="1"/>
    <col min="16131" max="16131" width="36.7109375" style="17" customWidth="1"/>
    <col min="16132" max="16132" width="35.42578125" style="17" customWidth="1"/>
    <col min="16133" max="16133" width="14.140625" style="17" customWidth="1"/>
    <col min="16134" max="16134" width="16" style="17" customWidth="1"/>
    <col min="16135" max="16135" width="19.28515625" style="17" customWidth="1"/>
    <col min="16136" max="16136" width="15" style="17" customWidth="1"/>
    <col min="16137" max="16137" width="9.7109375" style="17" bestFit="1" customWidth="1"/>
    <col min="16138" max="16384" width="8.7109375" style="17"/>
  </cols>
  <sheetData>
    <row r="1" spans="1:10" ht="16.5" thickBot="1" x14ac:dyDescent="0.3">
      <c r="A1" s="628" t="s">
        <v>438</v>
      </c>
      <c r="B1" s="629"/>
      <c r="C1" s="629"/>
      <c r="D1" s="629"/>
      <c r="E1" s="629"/>
      <c r="F1" s="629"/>
      <c r="G1" s="630"/>
    </row>
    <row r="2" spans="1:10" ht="78.75" customHeight="1" thickBot="1" x14ac:dyDescent="0.3">
      <c r="A2" s="640" t="s">
        <v>439</v>
      </c>
      <c r="B2" s="641"/>
      <c r="C2" s="631" t="s">
        <v>459</v>
      </c>
      <c r="D2" s="632"/>
      <c r="E2" s="633"/>
      <c r="F2" s="634" t="s">
        <v>99</v>
      </c>
      <c r="G2" s="635"/>
      <c r="J2" s="19"/>
    </row>
    <row r="3" spans="1:10" ht="16.5" thickBot="1" x14ac:dyDescent="0.3">
      <c r="A3" s="642" t="s">
        <v>100</v>
      </c>
      <c r="B3" s="643"/>
      <c r="C3" s="638">
        <f>SUM(Resumo!G16:G17)</f>
        <v>930.7</v>
      </c>
      <c r="D3" s="638"/>
      <c r="E3" s="639"/>
      <c r="F3" s="636"/>
      <c r="G3" s="637"/>
      <c r="H3" s="20"/>
      <c r="J3" s="21"/>
    </row>
    <row r="4" spans="1:10" x14ac:dyDescent="0.25">
      <c r="A4" s="22"/>
      <c r="B4" s="22"/>
      <c r="C4" s="23"/>
      <c r="D4" s="24"/>
      <c r="E4" s="22"/>
      <c r="F4" s="22"/>
      <c r="G4" s="22"/>
    </row>
    <row r="5" spans="1:10" ht="15.75" thickBot="1" x14ac:dyDescent="0.3">
      <c r="A5" s="25"/>
      <c r="B5" s="25"/>
      <c r="C5" s="25"/>
      <c r="D5" s="26"/>
      <c r="E5" s="25"/>
      <c r="F5" s="25"/>
      <c r="G5" s="25"/>
      <c r="H5" s="27"/>
      <c r="J5" s="28"/>
    </row>
    <row r="6" spans="1:10" ht="31.5" customHeight="1" x14ac:dyDescent="0.25">
      <c r="A6" s="29" t="s">
        <v>101</v>
      </c>
      <c r="B6" s="30" t="s">
        <v>102</v>
      </c>
      <c r="C6" s="31" t="s">
        <v>103</v>
      </c>
      <c r="D6" s="31" t="s">
        <v>104</v>
      </c>
      <c r="E6" s="32" t="s">
        <v>105</v>
      </c>
      <c r="F6" s="32" t="s">
        <v>106</v>
      </c>
      <c r="G6" s="33" t="s">
        <v>107</v>
      </c>
      <c r="H6" s="34"/>
      <c r="I6" s="35"/>
      <c r="J6" s="36"/>
    </row>
    <row r="7" spans="1:10" x14ac:dyDescent="0.25">
      <c r="A7" s="37"/>
      <c r="B7" s="38"/>
      <c r="C7" s="39" t="s">
        <v>108</v>
      </c>
      <c r="D7" s="40"/>
      <c r="E7" s="39"/>
      <c r="F7" s="39"/>
      <c r="G7" s="41">
        <f>G9+G29+G33+G36+G40+G47+G50+G58+G12+G19+G24+G54</f>
        <v>130251.84364186437</v>
      </c>
      <c r="H7" s="34"/>
      <c r="J7" s="42"/>
    </row>
    <row r="8" spans="1:10" x14ac:dyDescent="0.25">
      <c r="A8" s="37"/>
      <c r="B8" s="38">
        <v>1</v>
      </c>
      <c r="C8" s="43" t="s">
        <v>109</v>
      </c>
      <c r="D8" s="40"/>
      <c r="E8" s="44"/>
      <c r="F8" s="45"/>
      <c r="G8" s="41"/>
      <c r="J8" s="46"/>
    </row>
    <row r="9" spans="1:10" x14ac:dyDescent="0.25">
      <c r="A9" s="37"/>
      <c r="B9" s="38" t="s">
        <v>110</v>
      </c>
      <c r="C9" s="43" t="s">
        <v>111</v>
      </c>
      <c r="D9" s="299"/>
      <c r="E9" s="44"/>
      <c r="F9" s="45"/>
      <c r="G9" s="465">
        <f>G10</f>
        <v>817.33791666666662</v>
      </c>
      <c r="J9" s="46"/>
    </row>
    <row r="10" spans="1:10" x14ac:dyDescent="0.25">
      <c r="A10" s="47" t="s">
        <v>112</v>
      </c>
      <c r="B10" s="48" t="s">
        <v>113</v>
      </c>
      <c r="C10" s="49" t="s">
        <v>114</v>
      </c>
      <c r="D10" s="53" t="s">
        <v>115</v>
      </c>
      <c r="E10" s="44">
        <f>1/24</f>
        <v>4.1666666666666664E-2</v>
      </c>
      <c r="F10" s="63">
        <f>VLOOKUP(A10,'Planilha base'!C11:F27,4)</f>
        <v>19616.11</v>
      </c>
      <c r="G10" s="467">
        <f>E10*F10</f>
        <v>817.33791666666662</v>
      </c>
      <c r="I10" s="51"/>
      <c r="J10" s="46"/>
    </row>
    <row r="11" spans="1:10" x14ac:dyDescent="0.25">
      <c r="A11" s="37"/>
      <c r="B11" s="38"/>
      <c r="C11" s="43"/>
      <c r="D11" s="299"/>
      <c r="E11" s="44"/>
      <c r="F11" s="45"/>
      <c r="G11" s="465"/>
      <c r="J11" s="46"/>
    </row>
    <row r="12" spans="1:10" x14ac:dyDescent="0.25">
      <c r="A12" s="37"/>
      <c r="B12" s="38" t="s">
        <v>116</v>
      </c>
      <c r="C12" s="52" t="s">
        <v>1</v>
      </c>
      <c r="D12" s="53"/>
      <c r="E12" s="44"/>
      <c r="F12" s="468"/>
      <c r="G12" s="469">
        <f>SUM(G13:G17)</f>
        <v>25692.09</v>
      </c>
      <c r="J12" s="46"/>
    </row>
    <row r="13" spans="1:10" x14ac:dyDescent="0.25">
      <c r="A13" s="47" t="s">
        <v>117</v>
      </c>
      <c r="B13" s="48" t="s">
        <v>118</v>
      </c>
      <c r="C13" s="55" t="s">
        <v>2</v>
      </c>
      <c r="D13" s="53" t="s">
        <v>3</v>
      </c>
      <c r="E13" s="44">
        <v>1</v>
      </c>
      <c r="F13" s="63">
        <f>VLOOKUP(A13,'Planilha base'!$C$11:$F$27,4)</f>
        <v>17046.79</v>
      </c>
      <c r="G13" s="467">
        <f>E13*F13</f>
        <v>17046.79</v>
      </c>
      <c r="I13" s="51"/>
      <c r="J13" s="46"/>
    </row>
    <row r="14" spans="1:10" x14ac:dyDescent="0.25">
      <c r="A14" s="47" t="s">
        <v>119</v>
      </c>
      <c r="B14" s="48" t="s">
        <v>120</v>
      </c>
      <c r="C14" s="55" t="s">
        <v>4</v>
      </c>
      <c r="D14" s="53" t="s">
        <v>3</v>
      </c>
      <c r="E14" s="44"/>
      <c r="F14" s="63">
        <f>VLOOKUP(A14,'Planilha base'!$C$11:$F$27,4)</f>
        <v>13432.23</v>
      </c>
      <c r="G14" s="467">
        <f>E14*F14</f>
        <v>0</v>
      </c>
      <c r="I14" s="51"/>
      <c r="J14" s="46"/>
    </row>
    <row r="15" spans="1:10" x14ac:dyDescent="0.25">
      <c r="A15" s="47" t="s">
        <v>121</v>
      </c>
      <c r="B15" s="48" t="s">
        <v>122</v>
      </c>
      <c r="C15" s="55" t="s">
        <v>5</v>
      </c>
      <c r="D15" s="53" t="s">
        <v>3</v>
      </c>
      <c r="E15" s="44"/>
      <c r="F15" s="63">
        <f>VLOOKUP(A15,'Planilha base'!$C$11:$F$27,4)</f>
        <v>10508.36</v>
      </c>
      <c r="G15" s="467">
        <f>E15*F15</f>
        <v>0</v>
      </c>
      <c r="I15" s="51"/>
      <c r="J15" s="46"/>
    </row>
    <row r="16" spans="1:10" x14ac:dyDescent="0.25">
      <c r="A16" s="47" t="s">
        <v>123</v>
      </c>
      <c r="B16" s="48" t="s">
        <v>124</v>
      </c>
      <c r="C16" s="55" t="s">
        <v>6</v>
      </c>
      <c r="D16" s="53" t="s">
        <v>3</v>
      </c>
      <c r="E16" s="44"/>
      <c r="F16" s="63">
        <f>VLOOKUP(A16,'Planilha base'!$C$11:$F$27,4)</f>
        <v>8645.2999999999993</v>
      </c>
      <c r="G16" s="467">
        <f>E16*F16</f>
        <v>0</v>
      </c>
      <c r="I16" s="51"/>
      <c r="J16" s="46"/>
    </row>
    <row r="17" spans="1:10" x14ac:dyDescent="0.25">
      <c r="A17" s="47" t="s">
        <v>123</v>
      </c>
      <c r="B17" s="48" t="s">
        <v>125</v>
      </c>
      <c r="C17" s="55" t="s">
        <v>7</v>
      </c>
      <c r="D17" s="53" t="s">
        <v>3</v>
      </c>
      <c r="E17" s="44">
        <v>1</v>
      </c>
      <c r="F17" s="63">
        <f>VLOOKUP(A17,'Planilha base'!$C$11:$F$27,4)</f>
        <v>8645.2999999999993</v>
      </c>
      <c r="G17" s="467">
        <f>E17*F17</f>
        <v>8645.2999999999993</v>
      </c>
      <c r="I17" s="51"/>
      <c r="J17" s="46"/>
    </row>
    <row r="18" spans="1:10" x14ac:dyDescent="0.25">
      <c r="A18" s="47"/>
      <c r="B18" s="48"/>
      <c r="C18" s="55"/>
      <c r="D18" s="53"/>
      <c r="E18" s="44"/>
      <c r="F18" s="470"/>
      <c r="G18" s="467"/>
      <c r="J18" s="46"/>
    </row>
    <row r="19" spans="1:10" x14ac:dyDescent="0.25">
      <c r="A19" s="37"/>
      <c r="B19" s="38" t="s">
        <v>126</v>
      </c>
      <c r="C19" s="52" t="s">
        <v>127</v>
      </c>
      <c r="D19" s="53"/>
      <c r="E19" s="44"/>
      <c r="F19" s="470"/>
      <c r="G19" s="469">
        <f>SUM(G20:G22)</f>
        <v>0</v>
      </c>
      <c r="J19" s="46"/>
    </row>
    <row r="20" spans="1:10" x14ac:dyDescent="0.25">
      <c r="A20" s="47" t="s">
        <v>128</v>
      </c>
      <c r="B20" s="48" t="s">
        <v>129</v>
      </c>
      <c r="C20" s="55" t="s">
        <v>8</v>
      </c>
      <c r="D20" s="53" t="s">
        <v>3</v>
      </c>
      <c r="E20" s="44">
        <v>0</v>
      </c>
      <c r="F20" s="63">
        <f>VLOOKUP(A20,'Planilha base'!$C$11:$F$27,4)</f>
        <v>4644.72</v>
      </c>
      <c r="G20" s="467">
        <f>E20*F20</f>
        <v>0</v>
      </c>
      <c r="I20" s="51"/>
      <c r="J20" s="46"/>
    </row>
    <row r="21" spans="1:10" x14ac:dyDescent="0.25">
      <c r="A21" s="47" t="s">
        <v>130</v>
      </c>
      <c r="B21" s="48" t="s">
        <v>131</v>
      </c>
      <c r="C21" s="55" t="s">
        <v>9</v>
      </c>
      <c r="D21" s="53" t="s">
        <v>3</v>
      </c>
      <c r="E21" s="44">
        <v>0</v>
      </c>
      <c r="F21" s="63">
        <f>VLOOKUP(A21,'Planilha base'!$C$11:$F$27,4)</f>
        <v>3512.58</v>
      </c>
      <c r="G21" s="467">
        <f>E21*F21</f>
        <v>0</v>
      </c>
      <c r="I21" s="51"/>
      <c r="J21" s="46"/>
    </row>
    <row r="22" spans="1:10" x14ac:dyDescent="0.25">
      <c r="A22" s="47" t="s">
        <v>132</v>
      </c>
      <c r="B22" s="48" t="s">
        <v>131</v>
      </c>
      <c r="C22" s="55" t="s">
        <v>10</v>
      </c>
      <c r="D22" s="53" t="s">
        <v>3</v>
      </c>
      <c r="E22" s="44">
        <v>0</v>
      </c>
      <c r="F22" s="63">
        <f>VLOOKUP(A22,'Planilha base'!$C$11:$F$27,4)</f>
        <v>2819.32</v>
      </c>
      <c r="G22" s="467">
        <f>E22*F22</f>
        <v>0</v>
      </c>
      <c r="I22" s="51"/>
      <c r="J22" s="46"/>
    </row>
    <row r="23" spans="1:10" x14ac:dyDescent="0.25">
      <c r="A23" s="47"/>
      <c r="B23" s="48"/>
      <c r="C23" s="55"/>
      <c r="D23" s="53"/>
      <c r="E23" s="44"/>
      <c r="F23" s="470"/>
      <c r="G23" s="467"/>
      <c r="J23" s="46"/>
    </row>
    <row r="24" spans="1:10" x14ac:dyDescent="0.25">
      <c r="A24" s="47"/>
      <c r="B24" s="38" t="s">
        <v>133</v>
      </c>
      <c r="C24" s="52" t="s">
        <v>134</v>
      </c>
      <c r="D24" s="53"/>
      <c r="E24" s="44"/>
      <c r="F24" s="470"/>
      <c r="G24" s="469">
        <f>SUM(G25:G27)</f>
        <v>6473.3099999999995</v>
      </c>
      <c r="J24" s="46"/>
    </row>
    <row r="25" spans="1:10" x14ac:dyDescent="0.25">
      <c r="A25" s="47" t="s">
        <v>135</v>
      </c>
      <c r="B25" s="48" t="s">
        <v>136</v>
      </c>
      <c r="C25" s="55" t="s">
        <v>11</v>
      </c>
      <c r="D25" s="53" t="s">
        <v>3</v>
      </c>
      <c r="E25" s="44">
        <v>1</v>
      </c>
      <c r="F25" s="470">
        <f>VLOOKUP(A25,'Planilha base'!C25:F27,4)</f>
        <v>2929.99</v>
      </c>
      <c r="G25" s="467">
        <f>E25*F25</f>
        <v>2929.99</v>
      </c>
      <c r="I25" s="51"/>
      <c r="J25" s="46"/>
    </row>
    <row r="26" spans="1:10" x14ac:dyDescent="0.25">
      <c r="A26" s="47" t="s">
        <v>137</v>
      </c>
      <c r="B26" s="48" t="s">
        <v>138</v>
      </c>
      <c r="C26" s="55" t="s">
        <v>139</v>
      </c>
      <c r="D26" s="53" t="s">
        <v>3</v>
      </c>
      <c r="E26" s="44">
        <v>1</v>
      </c>
      <c r="F26" s="470">
        <f>VLOOKUP(A26,'Planilha base'!C26:F31,4)</f>
        <v>1893.03</v>
      </c>
      <c r="G26" s="467">
        <f>E26*F26</f>
        <v>1893.03</v>
      </c>
      <c r="I26" s="51"/>
      <c r="J26" s="46"/>
    </row>
    <row r="27" spans="1:10" x14ac:dyDescent="0.25">
      <c r="A27" s="47" t="s">
        <v>140</v>
      </c>
      <c r="B27" s="48" t="s">
        <v>141</v>
      </c>
      <c r="C27" s="55" t="s">
        <v>142</v>
      </c>
      <c r="D27" s="53" t="s">
        <v>3</v>
      </c>
      <c r="E27" s="44">
        <v>1</v>
      </c>
      <c r="F27" s="470">
        <f>VLOOKUP(A27,'Planilha base'!C27:F32,4)</f>
        <v>1650.29</v>
      </c>
      <c r="G27" s="467">
        <f>E27*F27</f>
        <v>1650.29</v>
      </c>
      <c r="I27" s="51"/>
      <c r="J27" s="46"/>
    </row>
    <row r="28" spans="1:10" x14ac:dyDescent="0.25">
      <c r="A28" s="47"/>
      <c r="B28" s="48"/>
      <c r="C28" s="56"/>
      <c r="D28" s="471"/>
      <c r="E28" s="44"/>
      <c r="F28" s="472"/>
      <c r="G28" s="469"/>
      <c r="J28" s="46"/>
    </row>
    <row r="29" spans="1:10" ht="14.65" customHeight="1" x14ac:dyDescent="0.25">
      <c r="A29" s="37"/>
      <c r="B29" s="38">
        <v>2</v>
      </c>
      <c r="C29" s="39" t="s">
        <v>143</v>
      </c>
      <c r="D29" s="53"/>
      <c r="E29" s="44"/>
      <c r="F29" s="473"/>
      <c r="G29" s="469">
        <f>SUM(G30:G31)</f>
        <v>27195.269743333338</v>
      </c>
      <c r="J29" s="46"/>
    </row>
    <row r="30" spans="1:10" x14ac:dyDescent="0.25">
      <c r="A30" s="47"/>
      <c r="B30" s="48" t="s">
        <v>144</v>
      </c>
      <c r="C30" s="55" t="s">
        <v>145</v>
      </c>
      <c r="D30" s="57" t="s">
        <v>146</v>
      </c>
      <c r="E30" s="44">
        <f>G9</f>
        <v>817.33791666666662</v>
      </c>
      <c r="F30" s="301">
        <v>0.2</v>
      </c>
      <c r="G30" s="467">
        <f>E30*F30</f>
        <v>163.46758333333332</v>
      </c>
      <c r="J30" s="46"/>
    </row>
    <row r="31" spans="1:10" x14ac:dyDescent="0.25">
      <c r="A31" s="47"/>
      <c r="B31" s="48" t="s">
        <v>147</v>
      </c>
      <c r="C31" s="55" t="s">
        <v>148</v>
      </c>
      <c r="D31" s="57" t="s">
        <v>146</v>
      </c>
      <c r="E31" s="44">
        <f>G12+G19+G24</f>
        <v>32165.4</v>
      </c>
      <c r="F31" s="301">
        <v>0.84040000000000004</v>
      </c>
      <c r="G31" s="467">
        <f>E31*F31</f>
        <v>27031.802160000003</v>
      </c>
      <c r="J31" s="46"/>
    </row>
    <row r="32" spans="1:10" x14ac:dyDescent="0.25">
      <c r="A32" s="47"/>
      <c r="B32" s="48"/>
      <c r="C32" s="55"/>
      <c r="D32" s="57"/>
      <c r="E32" s="44"/>
      <c r="F32" s="301"/>
      <c r="G32" s="467"/>
      <c r="J32" s="46"/>
    </row>
    <row r="33" spans="1:10" x14ac:dyDescent="0.25">
      <c r="A33" s="37"/>
      <c r="B33" s="38">
        <v>3</v>
      </c>
      <c r="C33" s="39" t="s">
        <v>149</v>
      </c>
      <c r="D33" s="58"/>
      <c r="E33" s="44"/>
      <c r="F33" s="301"/>
      <c r="G33" s="469">
        <f>G34</f>
        <v>9894.8213749999995</v>
      </c>
      <c r="J33" s="46"/>
    </row>
    <row r="34" spans="1:10" x14ac:dyDescent="0.25">
      <c r="A34" s="47"/>
      <c r="B34" s="48" t="s">
        <v>150</v>
      </c>
      <c r="C34" s="55" t="s">
        <v>151</v>
      </c>
      <c r="D34" s="57" t="s">
        <v>146</v>
      </c>
      <c r="E34" s="44">
        <f>G24+G19+G12+G9</f>
        <v>32982.737916666665</v>
      </c>
      <c r="F34" s="301">
        <v>0.3</v>
      </c>
      <c r="G34" s="467">
        <f>E34*F34</f>
        <v>9894.8213749999995</v>
      </c>
      <c r="J34" s="46"/>
    </row>
    <row r="35" spans="1:10" x14ac:dyDescent="0.25">
      <c r="A35" s="37"/>
      <c r="B35" s="38"/>
      <c r="C35" s="39"/>
      <c r="D35" s="57"/>
      <c r="E35" s="44"/>
      <c r="F35" s="474"/>
      <c r="G35" s="469"/>
      <c r="J35" s="46"/>
    </row>
    <row r="36" spans="1:10" s="60" customFormat="1" x14ac:dyDescent="0.25">
      <c r="A36" s="37"/>
      <c r="B36" s="38">
        <v>4</v>
      </c>
      <c r="C36" s="39" t="s">
        <v>152</v>
      </c>
      <c r="D36" s="58"/>
      <c r="E36" s="59"/>
      <c r="F36" s="475"/>
      <c r="G36" s="469">
        <f>SUM(G37:G38)</f>
        <v>6234.54</v>
      </c>
      <c r="I36" s="61"/>
      <c r="J36" s="46"/>
    </row>
    <row r="37" spans="1:10" x14ac:dyDescent="0.25">
      <c r="A37" s="47"/>
      <c r="B37" s="48" t="s">
        <v>153</v>
      </c>
      <c r="C37" s="55" t="s">
        <v>154</v>
      </c>
      <c r="D37" s="53" t="s">
        <v>155</v>
      </c>
      <c r="E37" s="44">
        <v>2</v>
      </c>
      <c r="F37" s="63">
        <f>'Tabela DNIT-Consult'!$L$23</f>
        <v>3117.27</v>
      </c>
      <c r="G37" s="467">
        <f>E37*F37</f>
        <v>6234.54</v>
      </c>
      <c r="I37" s="51"/>
      <c r="J37" s="46"/>
    </row>
    <row r="38" spans="1:10" x14ac:dyDescent="0.25">
      <c r="A38" s="47"/>
      <c r="B38" s="48" t="s">
        <v>156</v>
      </c>
      <c r="C38" s="55" t="s">
        <v>157</v>
      </c>
      <c r="D38" s="53" t="s">
        <v>155</v>
      </c>
      <c r="E38" s="44">
        <v>0</v>
      </c>
      <c r="F38" s="63">
        <f>'Tabela DNIT-Consult'!$L$25</f>
        <v>4660.3100000000004</v>
      </c>
      <c r="G38" s="467">
        <f>E38*F38</f>
        <v>0</v>
      </c>
      <c r="I38" s="51"/>
      <c r="J38" s="46"/>
    </row>
    <row r="39" spans="1:10" x14ac:dyDescent="0.25">
      <c r="A39" s="47"/>
      <c r="B39" s="48"/>
      <c r="C39" s="62"/>
      <c r="D39" s="57"/>
      <c r="E39" s="44"/>
      <c r="F39" s="63"/>
      <c r="G39" s="469"/>
      <c r="J39" s="46"/>
    </row>
    <row r="40" spans="1:10" x14ac:dyDescent="0.25">
      <c r="A40" s="37"/>
      <c r="B40" s="38">
        <v>5</v>
      </c>
      <c r="C40" s="39" t="s">
        <v>158</v>
      </c>
      <c r="D40" s="58"/>
      <c r="E40" s="59"/>
      <c r="F40" s="64"/>
      <c r="G40" s="469">
        <f>SUM(G41:G45)</f>
        <v>236.48333333333332</v>
      </c>
      <c r="H40" s="65"/>
      <c r="J40" s="46"/>
    </row>
    <row r="41" spans="1:10" x14ac:dyDescent="0.25">
      <c r="A41" s="47"/>
      <c r="B41" s="48" t="s">
        <v>159</v>
      </c>
      <c r="C41" s="55" t="s">
        <v>160</v>
      </c>
      <c r="D41" s="53" t="s">
        <v>155</v>
      </c>
      <c r="E41" s="44">
        <f>SUM(E13:E25)</f>
        <v>3</v>
      </c>
      <c r="F41" s="63">
        <f>2423/60</f>
        <v>40.383333333333333</v>
      </c>
      <c r="G41" s="467">
        <f>E41*F41</f>
        <v>121.15</v>
      </c>
      <c r="I41" s="51"/>
      <c r="J41" s="46"/>
    </row>
    <row r="42" spans="1:10" x14ac:dyDescent="0.25">
      <c r="A42" s="47"/>
      <c r="B42" s="48" t="s">
        <v>161</v>
      </c>
      <c r="C42" s="66" t="s">
        <v>162</v>
      </c>
      <c r="D42" s="53" t="s">
        <v>155</v>
      </c>
      <c r="E42" s="44">
        <f>ROUNDUP(E41/4,0)</f>
        <v>1</v>
      </c>
      <c r="F42" s="63">
        <f>2304/60</f>
        <v>38.4</v>
      </c>
      <c r="G42" s="467">
        <f>E42*F42</f>
        <v>38.4</v>
      </c>
      <c r="I42" s="51"/>
      <c r="J42" s="46"/>
    </row>
    <row r="43" spans="1:10" x14ac:dyDescent="0.25">
      <c r="A43" s="47"/>
      <c r="B43" s="48" t="s">
        <v>163</v>
      </c>
      <c r="C43" s="66" t="s">
        <v>164</v>
      </c>
      <c r="D43" s="53" t="s">
        <v>155</v>
      </c>
      <c r="E43" s="44">
        <v>3</v>
      </c>
      <c r="F43" s="63">
        <f>739/60</f>
        <v>12.316666666666666</v>
      </c>
      <c r="G43" s="467">
        <f>E43*F43</f>
        <v>36.950000000000003</v>
      </c>
      <c r="I43" s="67"/>
      <c r="J43" s="46"/>
    </row>
    <row r="44" spans="1:10" x14ac:dyDescent="0.25">
      <c r="A44" s="47"/>
      <c r="B44" s="48" t="s">
        <v>165</v>
      </c>
      <c r="C44" s="66" t="s">
        <v>166</v>
      </c>
      <c r="D44" s="53" t="s">
        <v>155</v>
      </c>
      <c r="E44" s="44">
        <v>1</v>
      </c>
      <c r="F44" s="63">
        <f>899/60</f>
        <v>14.983333333333333</v>
      </c>
      <c r="G44" s="467">
        <f>E44*F44</f>
        <v>14.983333333333333</v>
      </c>
      <c r="I44" s="67"/>
      <c r="J44" s="46"/>
    </row>
    <row r="45" spans="1:10" x14ac:dyDescent="0.25">
      <c r="A45" s="47"/>
      <c r="B45" s="48" t="s">
        <v>167</v>
      </c>
      <c r="C45" s="66" t="s">
        <v>168</v>
      </c>
      <c r="D45" s="53" t="s">
        <v>155</v>
      </c>
      <c r="E45" s="44">
        <v>4</v>
      </c>
      <c r="F45" s="63">
        <f>375/60</f>
        <v>6.25</v>
      </c>
      <c r="G45" s="467">
        <f>E45*F45</f>
        <v>25</v>
      </c>
      <c r="I45" s="67"/>
      <c r="J45" s="46"/>
    </row>
    <row r="46" spans="1:10" x14ac:dyDescent="0.25">
      <c r="A46" s="47"/>
      <c r="B46" s="48"/>
      <c r="C46" s="68"/>
      <c r="D46" s="57"/>
      <c r="E46" s="69"/>
      <c r="F46" s="63"/>
      <c r="G46" s="469"/>
      <c r="I46" s="70"/>
      <c r="J46" s="46"/>
    </row>
    <row r="47" spans="1:10" x14ac:dyDescent="0.25">
      <c r="A47" s="37"/>
      <c r="B47" s="38">
        <v>6</v>
      </c>
      <c r="C47" s="39" t="s">
        <v>169</v>
      </c>
      <c r="D47" s="58"/>
      <c r="E47" s="58"/>
      <c r="F47" s="64"/>
      <c r="G47" s="469">
        <f>G48</f>
        <v>1500</v>
      </c>
      <c r="I47" s="70"/>
      <c r="J47" s="46"/>
    </row>
    <row r="48" spans="1:10" x14ac:dyDescent="0.25">
      <c r="A48" s="47"/>
      <c r="B48" s="48" t="s">
        <v>170</v>
      </c>
      <c r="C48" s="55" t="s">
        <v>169</v>
      </c>
      <c r="D48" s="53" t="s">
        <v>171</v>
      </c>
      <c r="E48" s="44">
        <v>1000</v>
      </c>
      <c r="F48" s="63">
        <f>'Planilha base'!F47</f>
        <v>1.5</v>
      </c>
      <c r="G48" s="467">
        <f>E48*F48</f>
        <v>1500</v>
      </c>
      <c r="I48" s="67"/>
      <c r="J48" s="46"/>
    </row>
    <row r="49" spans="1:10" x14ac:dyDescent="0.25">
      <c r="A49" s="47"/>
      <c r="B49" s="48"/>
      <c r="C49" s="68"/>
      <c r="D49" s="57"/>
      <c r="E49" s="69"/>
      <c r="F49" s="63"/>
      <c r="G49" s="469"/>
      <c r="J49" s="46"/>
    </row>
    <row r="50" spans="1:10" x14ac:dyDescent="0.25">
      <c r="A50" s="37"/>
      <c r="B50" s="38">
        <v>7</v>
      </c>
      <c r="C50" s="71" t="s">
        <v>172</v>
      </c>
      <c r="D50" s="58"/>
      <c r="E50" s="58"/>
      <c r="F50" s="64"/>
      <c r="G50" s="469">
        <f>SUM(G51:G52)</f>
        <v>2502.5700000000002</v>
      </c>
      <c r="J50" s="46"/>
    </row>
    <row r="51" spans="1:10" x14ac:dyDescent="0.25">
      <c r="A51" s="47"/>
      <c r="B51" s="48" t="s">
        <v>173</v>
      </c>
      <c r="C51" s="66" t="s">
        <v>174</v>
      </c>
      <c r="D51" s="72" t="s">
        <v>155</v>
      </c>
      <c r="E51" s="44">
        <v>1</v>
      </c>
      <c r="F51" s="63">
        <f>'Planilha base'!F48</f>
        <v>1749.95</v>
      </c>
      <c r="G51" s="467">
        <f>E51*F51</f>
        <v>1749.95</v>
      </c>
      <c r="I51" s="51"/>
      <c r="J51" s="46"/>
    </row>
    <row r="52" spans="1:10" x14ac:dyDescent="0.25">
      <c r="A52" s="47"/>
      <c r="B52" s="48" t="s">
        <v>175</v>
      </c>
      <c r="C52" s="66" t="s">
        <v>176</v>
      </c>
      <c r="D52" s="72" t="s">
        <v>177</v>
      </c>
      <c r="E52" s="44">
        <v>1</v>
      </c>
      <c r="F52" s="63">
        <f>'Planilha base'!F49</f>
        <v>752.62</v>
      </c>
      <c r="G52" s="467">
        <f>E52*F52</f>
        <v>752.62</v>
      </c>
      <c r="I52" s="51"/>
      <c r="J52" s="46"/>
    </row>
    <row r="53" spans="1:10" x14ac:dyDescent="0.25">
      <c r="A53" s="47"/>
      <c r="B53" s="48"/>
      <c r="C53" s="68"/>
      <c r="D53" s="57"/>
      <c r="E53" s="69"/>
      <c r="F53" s="63"/>
      <c r="G53" s="469"/>
      <c r="I53" s="51"/>
    </row>
    <row r="54" spans="1:10" x14ac:dyDescent="0.25">
      <c r="A54" s="47"/>
      <c r="B54" s="38">
        <v>8</v>
      </c>
      <c r="C54" s="39" t="s">
        <v>178</v>
      </c>
      <c r="D54" s="57"/>
      <c r="E54" s="69"/>
      <c r="F54" s="63"/>
      <c r="G54" s="469">
        <f>SUM(G55:G56)</f>
        <v>19176</v>
      </c>
      <c r="I54" s="51"/>
    </row>
    <row r="55" spans="1:10" x14ac:dyDescent="0.25">
      <c r="A55" s="47"/>
      <c r="B55" s="48" t="s">
        <v>179</v>
      </c>
      <c r="C55" s="68" t="s">
        <v>16</v>
      </c>
      <c r="D55" s="57" t="s">
        <v>180</v>
      </c>
      <c r="E55" s="69">
        <f>SUM(Diárias!F5:F24)</f>
        <v>80</v>
      </c>
      <c r="F55" s="63">
        <f>'Planilha base'!G77</f>
        <v>239.7</v>
      </c>
      <c r="G55" s="467">
        <f>E55*F55</f>
        <v>19176</v>
      </c>
      <c r="I55" s="51"/>
    </row>
    <row r="56" spans="1:10" x14ac:dyDescent="0.25">
      <c r="A56" s="47"/>
      <c r="B56" s="48" t="s">
        <v>181</v>
      </c>
      <c r="C56" s="68" t="s">
        <v>182</v>
      </c>
      <c r="D56" s="57" t="s">
        <v>183</v>
      </c>
      <c r="E56" s="69">
        <v>0</v>
      </c>
      <c r="F56" s="63">
        <v>0</v>
      </c>
      <c r="G56" s="467">
        <f>E56*F56</f>
        <v>0</v>
      </c>
      <c r="I56" s="67"/>
      <c r="J56" s="46"/>
    </row>
    <row r="57" spans="1:10" x14ac:dyDescent="0.25">
      <c r="A57" s="47"/>
      <c r="B57" s="48"/>
      <c r="C57" s="68"/>
      <c r="D57" s="57"/>
      <c r="E57" s="69"/>
      <c r="F57" s="63"/>
      <c r="G57" s="469"/>
      <c r="J57" s="46"/>
    </row>
    <row r="58" spans="1:10" x14ac:dyDescent="0.25">
      <c r="A58" s="37"/>
      <c r="B58" s="38">
        <v>9</v>
      </c>
      <c r="C58" s="39" t="s">
        <v>184</v>
      </c>
      <c r="D58" s="58"/>
      <c r="E58" s="58"/>
      <c r="F58" s="73"/>
      <c r="G58" s="469">
        <f>SUM(G59:G60)</f>
        <v>30529.421273531043</v>
      </c>
      <c r="J58" s="46"/>
    </row>
    <row r="59" spans="1:10" x14ac:dyDescent="0.25">
      <c r="A59" s="47"/>
      <c r="B59" s="48" t="s">
        <v>185</v>
      </c>
      <c r="C59" s="55" t="s">
        <v>186</v>
      </c>
      <c r="D59" s="69" t="s">
        <v>146</v>
      </c>
      <c r="E59" s="44">
        <f>G9+G12+G19+G24+G29+G33+G36+G40+G47+G50+G54</f>
        <v>99722.42236833334</v>
      </c>
      <c r="F59" s="301">
        <v>0.12</v>
      </c>
      <c r="G59" s="467">
        <f>E59*F59</f>
        <v>11966.690684200001</v>
      </c>
      <c r="J59" s="46"/>
    </row>
    <row r="60" spans="1:10" x14ac:dyDescent="0.25">
      <c r="A60" s="47"/>
      <c r="B60" s="48" t="s">
        <v>187</v>
      </c>
      <c r="C60" s="55" t="s">
        <v>188</v>
      </c>
      <c r="D60" s="69" t="s">
        <v>146</v>
      </c>
      <c r="E60" s="44">
        <f>E59+G59</f>
        <v>111689.11305253334</v>
      </c>
      <c r="F60" s="301">
        <v>0.16619999999999999</v>
      </c>
      <c r="G60" s="467">
        <f>E60*F60</f>
        <v>18562.73058933104</v>
      </c>
      <c r="J60" s="46"/>
    </row>
    <row r="61" spans="1:10" x14ac:dyDescent="0.25">
      <c r="A61" s="47"/>
      <c r="B61" s="48"/>
      <c r="C61" s="68"/>
      <c r="D61" s="69"/>
      <c r="E61" s="69"/>
      <c r="F61" s="69"/>
      <c r="G61" s="50"/>
      <c r="J61" s="46"/>
    </row>
    <row r="62" spans="1:10" ht="15.75" thickBot="1" x14ac:dyDescent="0.3">
      <c r="A62" s="74"/>
      <c r="B62" s="75"/>
      <c r="C62" s="627" t="s">
        <v>189</v>
      </c>
      <c r="D62" s="627"/>
      <c r="E62" s="627"/>
      <c r="F62" s="627"/>
      <c r="G62" s="76">
        <f>G7</f>
        <v>130251.84364186437</v>
      </c>
      <c r="H62" s="77"/>
      <c r="I62" s="78"/>
      <c r="J62" s="46"/>
    </row>
    <row r="63" spans="1:10" ht="15.75" thickBot="1" x14ac:dyDescent="0.3">
      <c r="A63" s="74"/>
      <c r="B63" s="75"/>
      <c r="C63" s="627" t="s">
        <v>190</v>
      </c>
      <c r="D63" s="627"/>
      <c r="E63" s="627"/>
      <c r="F63" s="627"/>
      <c r="G63" s="76">
        <f>G62*12</f>
        <v>1563022.1237023724</v>
      </c>
      <c r="H63" s="79"/>
      <c r="I63" s="80"/>
      <c r="J63" s="46"/>
    </row>
    <row r="64" spans="1:10" x14ac:dyDescent="0.25">
      <c r="A64" s="81"/>
      <c r="B64" s="81"/>
      <c r="C64" s="81"/>
      <c r="D64" s="82"/>
      <c r="E64" s="81"/>
      <c r="F64" s="81"/>
      <c r="G64" s="81"/>
    </row>
    <row r="65" spans="1:7" ht="15.75" thickBot="1" x14ac:dyDescent="0.3"/>
    <row r="66" spans="1:7" ht="15.75" x14ac:dyDescent="0.25">
      <c r="A66" s="624" t="s">
        <v>191</v>
      </c>
      <c r="B66" s="624"/>
      <c r="C66" s="624"/>
      <c r="D66" s="624"/>
      <c r="E66" s="624"/>
      <c r="F66" s="624"/>
      <c r="G66" s="624"/>
    </row>
    <row r="67" spans="1:7" ht="15.75" thickBot="1" x14ac:dyDescent="0.3">
      <c r="A67" s="84"/>
      <c r="B67" s="84"/>
      <c r="C67" s="85"/>
      <c r="D67" s="85"/>
      <c r="E67" s="85"/>
      <c r="F67" s="86"/>
    </row>
    <row r="68" spans="1:7" x14ac:dyDescent="0.25">
      <c r="A68" s="625" t="s">
        <v>101</v>
      </c>
      <c r="B68" s="626"/>
      <c r="C68" s="87" t="s">
        <v>103</v>
      </c>
      <c r="D68" s="88"/>
      <c r="E68" s="89" t="s">
        <v>192</v>
      </c>
      <c r="F68" s="89" t="s">
        <v>193</v>
      </c>
      <c r="G68" s="90" t="s">
        <v>194</v>
      </c>
    </row>
    <row r="69" spans="1:7" x14ac:dyDescent="0.25">
      <c r="A69" s="663" t="s">
        <v>247</v>
      </c>
      <c r="B69" s="664"/>
      <c r="C69" s="91" t="s">
        <v>384</v>
      </c>
      <c r="D69" s="479"/>
      <c r="E69" s="93">
        <f>'Relatorios LOTE 04'!D28</f>
        <v>1</v>
      </c>
      <c r="F69" s="95">
        <f>'Relatorios LOTE 04'!D26</f>
        <v>614.26200000000006</v>
      </c>
      <c r="G69" s="94">
        <f t="shared" ref="G69:G74" si="0">F69*E69</f>
        <v>614.26200000000006</v>
      </c>
    </row>
    <row r="70" spans="1:7" x14ac:dyDescent="0.25">
      <c r="A70" s="663" t="s">
        <v>249</v>
      </c>
      <c r="B70" s="664"/>
      <c r="C70" s="91" t="s">
        <v>420</v>
      </c>
      <c r="D70" s="479"/>
      <c r="E70" s="93">
        <f>'Relatorios LOTE 04'!D52</f>
        <v>1</v>
      </c>
      <c r="F70" s="95">
        <f>'Relatorios LOTE 04'!D50</f>
        <v>335.05200000000002</v>
      </c>
      <c r="G70" s="94">
        <f t="shared" si="0"/>
        <v>335.05200000000002</v>
      </c>
    </row>
    <row r="71" spans="1:7" x14ac:dyDescent="0.25">
      <c r="A71" s="663" t="s">
        <v>419</v>
      </c>
      <c r="B71" s="664"/>
      <c r="C71" s="91" t="s">
        <v>421</v>
      </c>
      <c r="D71" s="479"/>
      <c r="E71" s="93">
        <f>'Relatorios LOTE 04'!D76</f>
        <v>1</v>
      </c>
      <c r="F71" s="95">
        <f>'Relatorios LOTE 04'!D74</f>
        <v>255.54695250000003</v>
      </c>
      <c r="G71" s="94">
        <f t="shared" si="0"/>
        <v>255.54695250000003</v>
      </c>
    </row>
    <row r="72" spans="1:7" x14ac:dyDescent="0.25">
      <c r="A72" s="663" t="s">
        <v>255</v>
      </c>
      <c r="B72" s="664"/>
      <c r="C72" s="91" t="s">
        <v>422</v>
      </c>
      <c r="D72" s="479"/>
      <c r="E72" s="93">
        <f>'Relatorios LOTE 04'!D97</f>
        <v>1</v>
      </c>
      <c r="F72" s="95">
        <f>'Relatorios LOTE 04'!D95</f>
        <v>310.13250750000003</v>
      </c>
      <c r="G72" s="94">
        <f t="shared" si="0"/>
        <v>310.13250750000003</v>
      </c>
    </row>
    <row r="73" spans="1:7" x14ac:dyDescent="0.25">
      <c r="A73" s="663" t="s">
        <v>258</v>
      </c>
      <c r="B73" s="664"/>
      <c r="C73" s="91" t="s">
        <v>424</v>
      </c>
      <c r="D73" s="479"/>
      <c r="E73" s="93">
        <f>'Relatorios LOTE 04'!D118</f>
        <v>1</v>
      </c>
      <c r="F73" s="95">
        <f>'Relatorios LOTE 04'!D116</f>
        <v>332.21336500000007</v>
      </c>
      <c r="G73" s="94">
        <f t="shared" si="0"/>
        <v>332.21336500000007</v>
      </c>
    </row>
    <row r="74" spans="1:7" x14ac:dyDescent="0.25">
      <c r="A74" s="663" t="s">
        <v>261</v>
      </c>
      <c r="B74" s="664"/>
      <c r="C74" s="91" t="s">
        <v>524</v>
      </c>
      <c r="D74" s="479"/>
      <c r="E74" s="93">
        <f>'Relatorios LOTE 04'!D140</f>
        <v>12</v>
      </c>
      <c r="F74" s="95">
        <f>'Relatorios LOTE 04'!D138</f>
        <v>1433.2780000000002</v>
      </c>
      <c r="G74" s="94">
        <f t="shared" si="0"/>
        <v>17199.336000000003</v>
      </c>
    </row>
    <row r="75" spans="1:7" x14ac:dyDescent="0.25">
      <c r="A75" s="663"/>
      <c r="B75" s="664"/>
      <c r="C75" s="91"/>
      <c r="D75" s="479"/>
      <c r="E75" s="93"/>
      <c r="F75" s="95"/>
      <c r="G75" s="94"/>
    </row>
    <row r="76" spans="1:7" x14ac:dyDescent="0.25">
      <c r="A76" s="665"/>
      <c r="B76" s="666"/>
      <c r="C76" s="96"/>
      <c r="D76" s="92"/>
      <c r="E76" s="97"/>
      <c r="F76" s="98" t="s">
        <v>195</v>
      </c>
      <c r="G76" s="99">
        <f>SUM(G69:G75)</f>
        <v>19046.542825000004</v>
      </c>
    </row>
    <row r="77" spans="1:7" x14ac:dyDescent="0.25">
      <c r="A77" s="665"/>
      <c r="B77" s="666"/>
      <c r="C77" s="96"/>
      <c r="D77" s="92"/>
      <c r="E77" s="97"/>
      <c r="F77" s="97"/>
      <c r="G77" s="100" t="s">
        <v>193</v>
      </c>
    </row>
    <row r="78" spans="1:7" x14ac:dyDescent="0.25">
      <c r="A78" s="665"/>
      <c r="B78" s="666"/>
      <c r="C78" s="101" t="s">
        <v>196</v>
      </c>
      <c r="D78" s="92"/>
      <c r="E78" s="97"/>
      <c r="F78" s="97"/>
      <c r="G78" s="94"/>
    </row>
    <row r="79" spans="1:7" x14ac:dyDescent="0.25">
      <c r="A79" s="665"/>
      <c r="B79" s="666"/>
      <c r="C79" s="101" t="s">
        <v>197</v>
      </c>
      <c r="D79" s="92"/>
      <c r="E79" s="97"/>
      <c r="F79" s="97" t="s">
        <v>198</v>
      </c>
      <c r="G79" s="94">
        <f>G63</f>
        <v>1563022.1237023724</v>
      </c>
    </row>
    <row r="80" spans="1:7" x14ac:dyDescent="0.25">
      <c r="A80" s="665"/>
      <c r="B80" s="666"/>
      <c r="C80" s="101" t="s">
        <v>199</v>
      </c>
      <c r="D80" s="92"/>
      <c r="E80" s="97"/>
      <c r="F80" s="97" t="s">
        <v>193</v>
      </c>
      <c r="G80" s="94">
        <f>G76</f>
        <v>19046.542825000004</v>
      </c>
    </row>
    <row r="81" spans="1:7" x14ac:dyDescent="0.25">
      <c r="A81" s="667"/>
      <c r="B81" s="668"/>
      <c r="C81" s="102" t="s">
        <v>200</v>
      </c>
      <c r="D81" s="103"/>
      <c r="E81" s="104"/>
      <c r="F81" s="104" t="s">
        <v>201</v>
      </c>
      <c r="G81" s="105">
        <f>ROUND(G79/G80,2)</f>
        <v>82.06</v>
      </c>
    </row>
    <row r="82" spans="1:7" ht="15.75" thickBot="1" x14ac:dyDescent="0.3">
      <c r="A82" s="618"/>
      <c r="B82" s="619"/>
      <c r="C82" s="106"/>
      <c r="D82" s="107"/>
      <c r="E82" s="108"/>
      <c r="F82" s="108"/>
      <c r="G82" s="109"/>
    </row>
  </sheetData>
  <mergeCells count="24">
    <mergeCell ref="A82:B82"/>
    <mergeCell ref="A74:B74"/>
    <mergeCell ref="A75:B75"/>
    <mergeCell ref="A76:B76"/>
    <mergeCell ref="A77:B77"/>
    <mergeCell ref="A78:B78"/>
    <mergeCell ref="A79:B79"/>
    <mergeCell ref="A80:B80"/>
    <mergeCell ref="A81:B81"/>
    <mergeCell ref="A72:B72"/>
    <mergeCell ref="A73:B73"/>
    <mergeCell ref="C63:F63"/>
    <mergeCell ref="A1:G1"/>
    <mergeCell ref="C2:E2"/>
    <mergeCell ref="F2:G3"/>
    <mergeCell ref="C3:E3"/>
    <mergeCell ref="C62:F62"/>
    <mergeCell ref="A2:B2"/>
    <mergeCell ref="A3:B3"/>
    <mergeCell ref="A66:G66"/>
    <mergeCell ref="A68:B68"/>
    <mergeCell ref="A69:B69"/>
    <mergeCell ref="A70:B70"/>
    <mergeCell ref="A71:B71"/>
  </mergeCells>
  <printOptions horizontalCentered="1"/>
  <pageMargins left="0.51181102362204722" right="0.51181102362204722" top="1.3779527559055118" bottom="0.78740157480314965" header="0.51181102362204722" footer="0.51181102362204722"/>
  <pageSetup paperSize="9" scale="46" firstPageNumber="0" orientation="portrait" r:id="rId1"/>
  <headerFooter alignWithMargins="0">
    <oddHeader xml:space="preserve">&amp;L&amp;G&amp;C </oddHeader>
    <oddFooter>&amp;A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53"/>
  <sheetViews>
    <sheetView showGridLines="0" zoomScale="85" zoomScaleNormal="85" zoomScaleSheetLayoutView="85" zoomScalePageLayoutView="85" workbookViewId="0">
      <pane ySplit="1" topLeftCell="A134" activePane="bottomLeft" state="frozen"/>
      <selection activeCell="B121" sqref="B121"/>
      <selection pane="bottomLeft" activeCell="F145" sqref="F145:F150"/>
    </sheetView>
  </sheetViews>
  <sheetFormatPr defaultColWidth="8.7109375" defaultRowHeight="12.75" x14ac:dyDescent="0.2"/>
  <cols>
    <col min="1" max="1" width="9" style="113" bestFit="1" customWidth="1"/>
    <col min="2" max="2" width="61.7109375" style="113" customWidth="1"/>
    <col min="3" max="3" width="12.7109375" style="113" customWidth="1"/>
    <col min="4" max="4" width="13.5703125" style="276" customWidth="1"/>
    <col min="5" max="5" width="14.42578125" style="276" customWidth="1"/>
    <col min="6" max="6" width="15.140625" style="276" customWidth="1"/>
    <col min="7" max="7" width="12.28515625" style="276" bestFit="1" customWidth="1"/>
    <col min="8" max="8" width="13.140625" style="276" bestFit="1" customWidth="1"/>
    <col min="9" max="9" width="19.42578125" style="276" customWidth="1"/>
    <col min="10" max="10" width="21.140625" style="276" bestFit="1" customWidth="1"/>
    <col min="11" max="11" width="17" style="276" bestFit="1" customWidth="1"/>
    <col min="12" max="12" width="6.5703125" style="276" bestFit="1" customWidth="1"/>
    <col min="13" max="13" width="14.7109375" style="276" bestFit="1" customWidth="1"/>
    <col min="14" max="14" width="13.28515625" style="276" bestFit="1" customWidth="1"/>
    <col min="15" max="15" width="18.5703125" style="276" bestFit="1" customWidth="1"/>
    <col min="16" max="223" width="8.7109375" style="276"/>
    <col min="224" max="224" width="12.7109375" style="276" customWidth="1"/>
    <col min="225" max="225" width="60.28515625" style="276" customWidth="1"/>
    <col min="226" max="227" width="12.7109375" style="276" customWidth="1"/>
    <col min="228" max="228" width="12.28515625" style="276" bestFit="1" customWidth="1"/>
    <col min="229" max="229" width="15.7109375" style="276" customWidth="1"/>
    <col min="230" max="230" width="17.7109375" style="276" bestFit="1" customWidth="1"/>
    <col min="231" max="231" width="8.7109375" style="276"/>
    <col min="232" max="232" width="18" style="276" bestFit="1" customWidth="1"/>
    <col min="233" max="234" width="8.7109375" style="276"/>
    <col min="235" max="235" width="21.7109375" style="276" customWidth="1"/>
    <col min="236" max="236" width="9.42578125" style="276" bestFit="1" customWidth="1"/>
    <col min="237" max="479" width="8.7109375" style="276"/>
    <col min="480" max="480" width="12.7109375" style="276" customWidth="1"/>
    <col min="481" max="481" width="60.28515625" style="276" customWidth="1"/>
    <col min="482" max="483" width="12.7109375" style="276" customWidth="1"/>
    <col min="484" max="484" width="12.28515625" style="276" bestFit="1" customWidth="1"/>
    <col min="485" max="485" width="15.7109375" style="276" customWidth="1"/>
    <col min="486" max="486" width="17.7109375" style="276" bestFit="1" customWidth="1"/>
    <col min="487" max="487" width="8.7109375" style="276"/>
    <col min="488" max="488" width="18" style="276" bestFit="1" customWidth="1"/>
    <col min="489" max="490" width="8.7109375" style="276"/>
    <col min="491" max="491" width="21.7109375" style="276" customWidth="1"/>
    <col min="492" max="492" width="9.42578125" style="276" bestFit="1" customWidth="1"/>
    <col min="493" max="735" width="8.7109375" style="276"/>
    <col min="736" max="736" width="12.7109375" style="276" customWidth="1"/>
    <col min="737" max="737" width="60.28515625" style="276" customWidth="1"/>
    <col min="738" max="739" width="12.7109375" style="276" customWidth="1"/>
    <col min="740" max="740" width="12.28515625" style="276" bestFit="1" customWidth="1"/>
    <col min="741" max="741" width="15.7109375" style="276" customWidth="1"/>
    <col min="742" max="742" width="17.7109375" style="276" bestFit="1" customWidth="1"/>
    <col min="743" max="743" width="8.7109375" style="276"/>
    <col min="744" max="744" width="18" style="276" bestFit="1" customWidth="1"/>
    <col min="745" max="746" width="8.7109375" style="276"/>
    <col min="747" max="747" width="21.7109375" style="276" customWidth="1"/>
    <col min="748" max="748" width="9.42578125" style="276" bestFit="1" customWidth="1"/>
    <col min="749" max="991" width="8.7109375" style="276"/>
    <col min="992" max="992" width="12.7109375" style="276" customWidth="1"/>
    <col min="993" max="993" width="60.28515625" style="276" customWidth="1"/>
    <col min="994" max="995" width="12.7109375" style="276" customWidth="1"/>
    <col min="996" max="996" width="12.28515625" style="276" bestFit="1" customWidth="1"/>
    <col min="997" max="997" width="15.7109375" style="276" customWidth="1"/>
    <col min="998" max="998" width="17.7109375" style="276" bestFit="1" customWidth="1"/>
    <col min="999" max="999" width="8.7109375" style="276"/>
    <col min="1000" max="1000" width="18" style="276" bestFit="1" customWidth="1"/>
    <col min="1001" max="1002" width="8.7109375" style="276"/>
    <col min="1003" max="1003" width="21.7109375" style="276" customWidth="1"/>
    <col min="1004" max="1004" width="9.42578125" style="276" bestFit="1" customWidth="1"/>
    <col min="1005" max="1247" width="8.7109375" style="276"/>
    <col min="1248" max="1248" width="12.7109375" style="276" customWidth="1"/>
    <col min="1249" max="1249" width="60.28515625" style="276" customWidth="1"/>
    <col min="1250" max="1251" width="12.7109375" style="276" customWidth="1"/>
    <col min="1252" max="1252" width="12.28515625" style="276" bestFit="1" customWidth="1"/>
    <col min="1253" max="1253" width="15.7109375" style="276" customWidth="1"/>
    <col min="1254" max="1254" width="17.7109375" style="276" bestFit="1" customWidth="1"/>
    <col min="1255" max="1255" width="8.7109375" style="276"/>
    <col min="1256" max="1256" width="18" style="276" bestFit="1" customWidth="1"/>
    <col min="1257" max="1258" width="8.7109375" style="276"/>
    <col min="1259" max="1259" width="21.7109375" style="276" customWidth="1"/>
    <col min="1260" max="1260" width="9.42578125" style="276" bestFit="1" customWidth="1"/>
    <col min="1261" max="1503" width="8.7109375" style="276"/>
    <col min="1504" max="1504" width="12.7109375" style="276" customWidth="1"/>
    <col min="1505" max="1505" width="60.28515625" style="276" customWidth="1"/>
    <col min="1506" max="1507" width="12.7109375" style="276" customWidth="1"/>
    <col min="1508" max="1508" width="12.28515625" style="276" bestFit="1" customWidth="1"/>
    <col min="1509" max="1509" width="15.7109375" style="276" customWidth="1"/>
    <col min="1510" max="1510" width="17.7109375" style="276" bestFit="1" customWidth="1"/>
    <col min="1511" max="1511" width="8.7109375" style="276"/>
    <col min="1512" max="1512" width="18" style="276" bestFit="1" customWidth="1"/>
    <col min="1513" max="1514" width="8.7109375" style="276"/>
    <col min="1515" max="1515" width="21.7109375" style="276" customWidth="1"/>
    <col min="1516" max="1516" width="9.42578125" style="276" bestFit="1" customWidth="1"/>
    <col min="1517" max="1759" width="8.7109375" style="276"/>
    <col min="1760" max="1760" width="12.7109375" style="276" customWidth="1"/>
    <col min="1761" max="1761" width="60.28515625" style="276" customWidth="1"/>
    <col min="1762" max="1763" width="12.7109375" style="276" customWidth="1"/>
    <col min="1764" max="1764" width="12.28515625" style="276" bestFit="1" customWidth="1"/>
    <col min="1765" max="1765" width="15.7109375" style="276" customWidth="1"/>
    <col min="1766" max="1766" width="17.7109375" style="276" bestFit="1" customWidth="1"/>
    <col min="1767" max="1767" width="8.7109375" style="276"/>
    <col min="1768" max="1768" width="18" style="276" bestFit="1" customWidth="1"/>
    <col min="1769" max="1770" width="8.7109375" style="276"/>
    <col min="1771" max="1771" width="21.7109375" style="276" customWidth="1"/>
    <col min="1772" max="1772" width="9.42578125" style="276" bestFit="1" customWidth="1"/>
    <col min="1773" max="2015" width="8.7109375" style="276"/>
    <col min="2016" max="2016" width="12.7109375" style="276" customWidth="1"/>
    <col min="2017" max="2017" width="60.28515625" style="276" customWidth="1"/>
    <col min="2018" max="2019" width="12.7109375" style="276" customWidth="1"/>
    <col min="2020" max="2020" width="12.28515625" style="276" bestFit="1" customWidth="1"/>
    <col min="2021" max="2021" width="15.7109375" style="276" customWidth="1"/>
    <col min="2022" max="2022" width="17.7109375" style="276" bestFit="1" customWidth="1"/>
    <col min="2023" max="2023" width="8.7109375" style="276"/>
    <col min="2024" max="2024" width="18" style="276" bestFit="1" customWidth="1"/>
    <col min="2025" max="2026" width="8.7109375" style="276"/>
    <col min="2027" max="2027" width="21.7109375" style="276" customWidth="1"/>
    <col min="2028" max="2028" width="9.42578125" style="276" bestFit="1" customWidth="1"/>
    <col min="2029" max="2271" width="8.7109375" style="276"/>
    <col min="2272" max="2272" width="12.7109375" style="276" customWidth="1"/>
    <col min="2273" max="2273" width="60.28515625" style="276" customWidth="1"/>
    <col min="2274" max="2275" width="12.7109375" style="276" customWidth="1"/>
    <col min="2276" max="2276" width="12.28515625" style="276" bestFit="1" customWidth="1"/>
    <col min="2277" max="2277" width="15.7109375" style="276" customWidth="1"/>
    <col min="2278" max="2278" width="17.7109375" style="276" bestFit="1" customWidth="1"/>
    <col min="2279" max="2279" width="8.7109375" style="276"/>
    <col min="2280" max="2280" width="18" style="276" bestFit="1" customWidth="1"/>
    <col min="2281" max="2282" width="8.7109375" style="276"/>
    <col min="2283" max="2283" width="21.7109375" style="276" customWidth="1"/>
    <col min="2284" max="2284" width="9.42578125" style="276" bestFit="1" customWidth="1"/>
    <col min="2285" max="2527" width="8.7109375" style="276"/>
    <col min="2528" max="2528" width="12.7109375" style="276" customWidth="1"/>
    <col min="2529" max="2529" width="60.28515625" style="276" customWidth="1"/>
    <col min="2530" max="2531" width="12.7109375" style="276" customWidth="1"/>
    <col min="2532" max="2532" width="12.28515625" style="276" bestFit="1" customWidth="1"/>
    <col min="2533" max="2533" width="15.7109375" style="276" customWidth="1"/>
    <col min="2534" max="2534" width="17.7109375" style="276" bestFit="1" customWidth="1"/>
    <col min="2535" max="2535" width="8.7109375" style="276"/>
    <col min="2536" max="2536" width="18" style="276" bestFit="1" customWidth="1"/>
    <col min="2537" max="2538" width="8.7109375" style="276"/>
    <col min="2539" max="2539" width="21.7109375" style="276" customWidth="1"/>
    <col min="2540" max="2540" width="9.42578125" style="276" bestFit="1" customWidth="1"/>
    <col min="2541" max="2783" width="8.7109375" style="276"/>
    <col min="2784" max="2784" width="12.7109375" style="276" customWidth="1"/>
    <col min="2785" max="2785" width="60.28515625" style="276" customWidth="1"/>
    <col min="2786" max="2787" width="12.7109375" style="276" customWidth="1"/>
    <col min="2788" max="2788" width="12.28515625" style="276" bestFit="1" customWidth="1"/>
    <col min="2789" max="2789" width="15.7109375" style="276" customWidth="1"/>
    <col min="2790" max="2790" width="17.7109375" style="276" bestFit="1" customWidth="1"/>
    <col min="2791" max="2791" width="8.7109375" style="276"/>
    <col min="2792" max="2792" width="18" style="276" bestFit="1" customWidth="1"/>
    <col min="2793" max="2794" width="8.7109375" style="276"/>
    <col min="2795" max="2795" width="21.7109375" style="276" customWidth="1"/>
    <col min="2796" max="2796" width="9.42578125" style="276" bestFit="1" customWidth="1"/>
    <col min="2797" max="3039" width="8.7109375" style="276"/>
    <col min="3040" max="3040" width="12.7109375" style="276" customWidth="1"/>
    <col min="3041" max="3041" width="60.28515625" style="276" customWidth="1"/>
    <col min="3042" max="3043" width="12.7109375" style="276" customWidth="1"/>
    <col min="3044" max="3044" width="12.28515625" style="276" bestFit="1" customWidth="1"/>
    <col min="3045" max="3045" width="15.7109375" style="276" customWidth="1"/>
    <col min="3046" max="3046" width="17.7109375" style="276" bestFit="1" customWidth="1"/>
    <col min="3047" max="3047" width="8.7109375" style="276"/>
    <col min="3048" max="3048" width="18" style="276" bestFit="1" customWidth="1"/>
    <col min="3049" max="3050" width="8.7109375" style="276"/>
    <col min="3051" max="3051" width="21.7109375" style="276" customWidth="1"/>
    <col min="3052" max="3052" width="9.42578125" style="276" bestFit="1" customWidth="1"/>
    <col min="3053" max="3295" width="8.7109375" style="276"/>
    <col min="3296" max="3296" width="12.7109375" style="276" customWidth="1"/>
    <col min="3297" max="3297" width="60.28515625" style="276" customWidth="1"/>
    <col min="3298" max="3299" width="12.7109375" style="276" customWidth="1"/>
    <col min="3300" max="3300" width="12.28515625" style="276" bestFit="1" customWidth="1"/>
    <col min="3301" max="3301" width="15.7109375" style="276" customWidth="1"/>
    <col min="3302" max="3302" width="17.7109375" style="276" bestFit="1" customWidth="1"/>
    <col min="3303" max="3303" width="8.7109375" style="276"/>
    <col min="3304" max="3304" width="18" style="276" bestFit="1" customWidth="1"/>
    <col min="3305" max="3306" width="8.7109375" style="276"/>
    <col min="3307" max="3307" width="21.7109375" style="276" customWidth="1"/>
    <col min="3308" max="3308" width="9.42578125" style="276" bestFit="1" customWidth="1"/>
    <col min="3309" max="3551" width="8.7109375" style="276"/>
    <col min="3552" max="3552" width="12.7109375" style="276" customWidth="1"/>
    <col min="3553" max="3553" width="60.28515625" style="276" customWidth="1"/>
    <col min="3554" max="3555" width="12.7109375" style="276" customWidth="1"/>
    <col min="3556" max="3556" width="12.28515625" style="276" bestFit="1" customWidth="1"/>
    <col min="3557" max="3557" width="15.7109375" style="276" customWidth="1"/>
    <col min="3558" max="3558" width="17.7109375" style="276" bestFit="1" customWidth="1"/>
    <col min="3559" max="3559" width="8.7109375" style="276"/>
    <col min="3560" max="3560" width="18" style="276" bestFit="1" customWidth="1"/>
    <col min="3561" max="3562" width="8.7109375" style="276"/>
    <col min="3563" max="3563" width="21.7109375" style="276" customWidth="1"/>
    <col min="3564" max="3564" width="9.42578125" style="276" bestFit="1" customWidth="1"/>
    <col min="3565" max="3807" width="8.7109375" style="276"/>
    <col min="3808" max="3808" width="12.7109375" style="276" customWidth="1"/>
    <col min="3809" max="3809" width="60.28515625" style="276" customWidth="1"/>
    <col min="3810" max="3811" width="12.7109375" style="276" customWidth="1"/>
    <col min="3812" max="3812" width="12.28515625" style="276" bestFit="1" customWidth="1"/>
    <col min="3813" max="3813" width="15.7109375" style="276" customWidth="1"/>
    <col min="3814" max="3814" width="17.7109375" style="276" bestFit="1" customWidth="1"/>
    <col min="3815" max="3815" width="8.7109375" style="276"/>
    <col min="3816" max="3816" width="18" style="276" bestFit="1" customWidth="1"/>
    <col min="3817" max="3818" width="8.7109375" style="276"/>
    <col min="3819" max="3819" width="21.7109375" style="276" customWidth="1"/>
    <col min="3820" max="3820" width="9.42578125" style="276" bestFit="1" customWidth="1"/>
    <col min="3821" max="4063" width="8.7109375" style="276"/>
    <col min="4064" max="4064" width="12.7109375" style="276" customWidth="1"/>
    <col min="4065" max="4065" width="60.28515625" style="276" customWidth="1"/>
    <col min="4066" max="4067" width="12.7109375" style="276" customWidth="1"/>
    <col min="4068" max="4068" width="12.28515625" style="276" bestFit="1" customWidth="1"/>
    <col min="4069" max="4069" width="15.7109375" style="276" customWidth="1"/>
    <col min="4070" max="4070" width="17.7109375" style="276" bestFit="1" customWidth="1"/>
    <col min="4071" max="4071" width="8.7109375" style="276"/>
    <col min="4072" max="4072" width="18" style="276" bestFit="1" customWidth="1"/>
    <col min="4073" max="4074" width="8.7109375" style="276"/>
    <col min="4075" max="4075" width="21.7109375" style="276" customWidth="1"/>
    <col min="4076" max="4076" width="9.42578125" style="276" bestFit="1" customWidth="1"/>
    <col min="4077" max="4319" width="8.7109375" style="276"/>
    <col min="4320" max="4320" width="12.7109375" style="276" customWidth="1"/>
    <col min="4321" max="4321" width="60.28515625" style="276" customWidth="1"/>
    <col min="4322" max="4323" width="12.7109375" style="276" customWidth="1"/>
    <col min="4324" max="4324" width="12.28515625" style="276" bestFit="1" customWidth="1"/>
    <col min="4325" max="4325" width="15.7109375" style="276" customWidth="1"/>
    <col min="4326" max="4326" width="17.7109375" style="276" bestFit="1" customWidth="1"/>
    <col min="4327" max="4327" width="8.7109375" style="276"/>
    <col min="4328" max="4328" width="18" style="276" bestFit="1" customWidth="1"/>
    <col min="4329" max="4330" width="8.7109375" style="276"/>
    <col min="4331" max="4331" width="21.7109375" style="276" customWidth="1"/>
    <col min="4332" max="4332" width="9.42578125" style="276" bestFit="1" customWidth="1"/>
    <col min="4333" max="4575" width="8.7109375" style="276"/>
    <col min="4576" max="4576" width="12.7109375" style="276" customWidth="1"/>
    <col min="4577" max="4577" width="60.28515625" style="276" customWidth="1"/>
    <col min="4578" max="4579" width="12.7109375" style="276" customWidth="1"/>
    <col min="4580" max="4580" width="12.28515625" style="276" bestFit="1" customWidth="1"/>
    <col min="4581" max="4581" width="15.7109375" style="276" customWidth="1"/>
    <col min="4582" max="4582" width="17.7109375" style="276" bestFit="1" customWidth="1"/>
    <col min="4583" max="4583" width="8.7109375" style="276"/>
    <col min="4584" max="4584" width="18" style="276" bestFit="1" customWidth="1"/>
    <col min="4585" max="4586" width="8.7109375" style="276"/>
    <col min="4587" max="4587" width="21.7109375" style="276" customWidth="1"/>
    <col min="4588" max="4588" width="9.42578125" style="276" bestFit="1" customWidth="1"/>
    <col min="4589" max="4831" width="8.7109375" style="276"/>
    <col min="4832" max="4832" width="12.7109375" style="276" customWidth="1"/>
    <col min="4833" max="4833" width="60.28515625" style="276" customWidth="1"/>
    <col min="4834" max="4835" width="12.7109375" style="276" customWidth="1"/>
    <col min="4836" max="4836" width="12.28515625" style="276" bestFit="1" customWidth="1"/>
    <col min="4837" max="4837" width="15.7109375" style="276" customWidth="1"/>
    <col min="4838" max="4838" width="17.7109375" style="276" bestFit="1" customWidth="1"/>
    <col min="4839" max="4839" width="8.7109375" style="276"/>
    <col min="4840" max="4840" width="18" style="276" bestFit="1" customWidth="1"/>
    <col min="4841" max="4842" width="8.7109375" style="276"/>
    <col min="4843" max="4843" width="21.7109375" style="276" customWidth="1"/>
    <col min="4844" max="4844" width="9.42578125" style="276" bestFit="1" customWidth="1"/>
    <col min="4845" max="5087" width="8.7109375" style="276"/>
    <col min="5088" max="5088" width="12.7109375" style="276" customWidth="1"/>
    <col min="5089" max="5089" width="60.28515625" style="276" customWidth="1"/>
    <col min="5090" max="5091" width="12.7109375" style="276" customWidth="1"/>
    <col min="5092" max="5092" width="12.28515625" style="276" bestFit="1" customWidth="1"/>
    <col min="5093" max="5093" width="15.7109375" style="276" customWidth="1"/>
    <col min="5094" max="5094" width="17.7109375" style="276" bestFit="1" customWidth="1"/>
    <col min="5095" max="5095" width="8.7109375" style="276"/>
    <col min="5096" max="5096" width="18" style="276" bestFit="1" customWidth="1"/>
    <col min="5097" max="5098" width="8.7109375" style="276"/>
    <col min="5099" max="5099" width="21.7109375" style="276" customWidth="1"/>
    <col min="5100" max="5100" width="9.42578125" style="276" bestFit="1" customWidth="1"/>
    <col min="5101" max="5343" width="8.7109375" style="276"/>
    <col min="5344" max="5344" width="12.7109375" style="276" customWidth="1"/>
    <col min="5345" max="5345" width="60.28515625" style="276" customWidth="1"/>
    <col min="5346" max="5347" width="12.7109375" style="276" customWidth="1"/>
    <col min="5348" max="5348" width="12.28515625" style="276" bestFit="1" customWidth="1"/>
    <col min="5349" max="5349" width="15.7109375" style="276" customWidth="1"/>
    <col min="5350" max="5350" width="17.7109375" style="276" bestFit="1" customWidth="1"/>
    <col min="5351" max="5351" width="8.7109375" style="276"/>
    <col min="5352" max="5352" width="18" style="276" bestFit="1" customWidth="1"/>
    <col min="5353" max="5354" width="8.7109375" style="276"/>
    <col min="5355" max="5355" width="21.7109375" style="276" customWidth="1"/>
    <col min="5356" max="5356" width="9.42578125" style="276" bestFit="1" customWidth="1"/>
    <col min="5357" max="5599" width="8.7109375" style="276"/>
    <col min="5600" max="5600" width="12.7109375" style="276" customWidth="1"/>
    <col min="5601" max="5601" width="60.28515625" style="276" customWidth="1"/>
    <col min="5602" max="5603" width="12.7109375" style="276" customWidth="1"/>
    <col min="5604" max="5604" width="12.28515625" style="276" bestFit="1" customWidth="1"/>
    <col min="5605" max="5605" width="15.7109375" style="276" customWidth="1"/>
    <col min="5606" max="5606" width="17.7109375" style="276" bestFit="1" customWidth="1"/>
    <col min="5607" max="5607" width="8.7109375" style="276"/>
    <col min="5608" max="5608" width="18" style="276" bestFit="1" customWidth="1"/>
    <col min="5609" max="5610" width="8.7109375" style="276"/>
    <col min="5611" max="5611" width="21.7109375" style="276" customWidth="1"/>
    <col min="5612" max="5612" width="9.42578125" style="276" bestFit="1" customWidth="1"/>
    <col min="5613" max="5855" width="8.7109375" style="276"/>
    <col min="5856" max="5856" width="12.7109375" style="276" customWidth="1"/>
    <col min="5857" max="5857" width="60.28515625" style="276" customWidth="1"/>
    <col min="5858" max="5859" width="12.7109375" style="276" customWidth="1"/>
    <col min="5860" max="5860" width="12.28515625" style="276" bestFit="1" customWidth="1"/>
    <col min="5861" max="5861" width="15.7109375" style="276" customWidth="1"/>
    <col min="5862" max="5862" width="17.7109375" style="276" bestFit="1" customWidth="1"/>
    <col min="5863" max="5863" width="8.7109375" style="276"/>
    <col min="5864" max="5864" width="18" style="276" bestFit="1" customWidth="1"/>
    <col min="5865" max="5866" width="8.7109375" style="276"/>
    <col min="5867" max="5867" width="21.7109375" style="276" customWidth="1"/>
    <col min="5868" max="5868" width="9.42578125" style="276" bestFit="1" customWidth="1"/>
    <col min="5869" max="6111" width="8.7109375" style="276"/>
    <col min="6112" max="6112" width="12.7109375" style="276" customWidth="1"/>
    <col min="6113" max="6113" width="60.28515625" style="276" customWidth="1"/>
    <col min="6114" max="6115" width="12.7109375" style="276" customWidth="1"/>
    <col min="6116" max="6116" width="12.28515625" style="276" bestFit="1" customWidth="1"/>
    <col min="6117" max="6117" width="15.7109375" style="276" customWidth="1"/>
    <col min="6118" max="6118" width="17.7109375" style="276" bestFit="1" customWidth="1"/>
    <col min="6119" max="6119" width="8.7109375" style="276"/>
    <col min="6120" max="6120" width="18" style="276" bestFit="1" customWidth="1"/>
    <col min="6121" max="6122" width="8.7109375" style="276"/>
    <col min="6123" max="6123" width="21.7109375" style="276" customWidth="1"/>
    <col min="6124" max="6124" width="9.42578125" style="276" bestFit="1" customWidth="1"/>
    <col min="6125" max="6367" width="8.7109375" style="276"/>
    <col min="6368" max="6368" width="12.7109375" style="276" customWidth="1"/>
    <col min="6369" max="6369" width="60.28515625" style="276" customWidth="1"/>
    <col min="6370" max="6371" width="12.7109375" style="276" customWidth="1"/>
    <col min="6372" max="6372" width="12.28515625" style="276" bestFit="1" customWidth="1"/>
    <col min="6373" max="6373" width="15.7109375" style="276" customWidth="1"/>
    <col min="6374" max="6374" width="17.7109375" style="276" bestFit="1" customWidth="1"/>
    <col min="6375" max="6375" width="8.7109375" style="276"/>
    <col min="6376" max="6376" width="18" style="276" bestFit="1" customWidth="1"/>
    <col min="6377" max="6378" width="8.7109375" style="276"/>
    <col min="6379" max="6379" width="21.7109375" style="276" customWidth="1"/>
    <col min="6380" max="6380" width="9.42578125" style="276" bestFit="1" customWidth="1"/>
    <col min="6381" max="6623" width="8.7109375" style="276"/>
    <col min="6624" max="6624" width="12.7109375" style="276" customWidth="1"/>
    <col min="6625" max="6625" width="60.28515625" style="276" customWidth="1"/>
    <col min="6626" max="6627" width="12.7109375" style="276" customWidth="1"/>
    <col min="6628" max="6628" width="12.28515625" style="276" bestFit="1" customWidth="1"/>
    <col min="6629" max="6629" width="15.7109375" style="276" customWidth="1"/>
    <col min="6630" max="6630" width="17.7109375" style="276" bestFit="1" customWidth="1"/>
    <col min="6631" max="6631" width="8.7109375" style="276"/>
    <col min="6632" max="6632" width="18" style="276" bestFit="1" customWidth="1"/>
    <col min="6633" max="6634" width="8.7109375" style="276"/>
    <col min="6635" max="6635" width="21.7109375" style="276" customWidth="1"/>
    <col min="6636" max="6636" width="9.42578125" style="276" bestFit="1" customWidth="1"/>
    <col min="6637" max="6879" width="8.7109375" style="276"/>
    <col min="6880" max="6880" width="12.7109375" style="276" customWidth="1"/>
    <col min="6881" max="6881" width="60.28515625" style="276" customWidth="1"/>
    <col min="6882" max="6883" width="12.7109375" style="276" customWidth="1"/>
    <col min="6884" max="6884" width="12.28515625" style="276" bestFit="1" customWidth="1"/>
    <col min="6885" max="6885" width="15.7109375" style="276" customWidth="1"/>
    <col min="6886" max="6886" width="17.7109375" style="276" bestFit="1" customWidth="1"/>
    <col min="6887" max="6887" width="8.7109375" style="276"/>
    <col min="6888" max="6888" width="18" style="276" bestFit="1" customWidth="1"/>
    <col min="6889" max="6890" width="8.7109375" style="276"/>
    <col min="6891" max="6891" width="21.7109375" style="276" customWidth="1"/>
    <col min="6892" max="6892" width="9.42578125" style="276" bestFit="1" customWidth="1"/>
    <col min="6893" max="7135" width="8.7109375" style="276"/>
    <col min="7136" max="7136" width="12.7109375" style="276" customWidth="1"/>
    <col min="7137" max="7137" width="60.28515625" style="276" customWidth="1"/>
    <col min="7138" max="7139" width="12.7109375" style="276" customWidth="1"/>
    <col min="7140" max="7140" width="12.28515625" style="276" bestFit="1" customWidth="1"/>
    <col min="7141" max="7141" width="15.7109375" style="276" customWidth="1"/>
    <col min="7142" max="7142" width="17.7109375" style="276" bestFit="1" customWidth="1"/>
    <col min="7143" max="7143" width="8.7109375" style="276"/>
    <col min="7144" max="7144" width="18" style="276" bestFit="1" customWidth="1"/>
    <col min="7145" max="7146" width="8.7109375" style="276"/>
    <col min="7147" max="7147" width="21.7109375" style="276" customWidth="1"/>
    <col min="7148" max="7148" width="9.42578125" style="276" bestFit="1" customWidth="1"/>
    <col min="7149" max="7391" width="8.7109375" style="276"/>
    <col min="7392" max="7392" width="12.7109375" style="276" customWidth="1"/>
    <col min="7393" max="7393" width="60.28515625" style="276" customWidth="1"/>
    <col min="7394" max="7395" width="12.7109375" style="276" customWidth="1"/>
    <col min="7396" max="7396" width="12.28515625" style="276" bestFit="1" customWidth="1"/>
    <col min="7397" max="7397" width="15.7109375" style="276" customWidth="1"/>
    <col min="7398" max="7398" width="17.7109375" style="276" bestFit="1" customWidth="1"/>
    <col min="7399" max="7399" width="8.7109375" style="276"/>
    <col min="7400" max="7400" width="18" style="276" bestFit="1" customWidth="1"/>
    <col min="7401" max="7402" width="8.7109375" style="276"/>
    <col min="7403" max="7403" width="21.7109375" style="276" customWidth="1"/>
    <col min="7404" max="7404" width="9.42578125" style="276" bestFit="1" customWidth="1"/>
    <col min="7405" max="7647" width="8.7109375" style="276"/>
    <col min="7648" max="7648" width="12.7109375" style="276" customWidth="1"/>
    <col min="7649" max="7649" width="60.28515625" style="276" customWidth="1"/>
    <col min="7650" max="7651" width="12.7109375" style="276" customWidth="1"/>
    <col min="7652" max="7652" width="12.28515625" style="276" bestFit="1" customWidth="1"/>
    <col min="7653" max="7653" width="15.7109375" style="276" customWidth="1"/>
    <col min="7654" max="7654" width="17.7109375" style="276" bestFit="1" customWidth="1"/>
    <col min="7655" max="7655" width="8.7109375" style="276"/>
    <col min="7656" max="7656" width="18" style="276" bestFit="1" customWidth="1"/>
    <col min="7657" max="7658" width="8.7109375" style="276"/>
    <col min="7659" max="7659" width="21.7109375" style="276" customWidth="1"/>
    <col min="7660" max="7660" width="9.42578125" style="276" bestFit="1" customWidth="1"/>
    <col min="7661" max="7903" width="8.7109375" style="276"/>
    <col min="7904" max="7904" width="12.7109375" style="276" customWidth="1"/>
    <col min="7905" max="7905" width="60.28515625" style="276" customWidth="1"/>
    <col min="7906" max="7907" width="12.7109375" style="276" customWidth="1"/>
    <col min="7908" max="7908" width="12.28515625" style="276" bestFit="1" customWidth="1"/>
    <col min="7909" max="7909" width="15.7109375" style="276" customWidth="1"/>
    <col min="7910" max="7910" width="17.7109375" style="276" bestFit="1" customWidth="1"/>
    <col min="7911" max="7911" width="8.7109375" style="276"/>
    <col min="7912" max="7912" width="18" style="276" bestFit="1" customWidth="1"/>
    <col min="7913" max="7914" width="8.7109375" style="276"/>
    <col min="7915" max="7915" width="21.7109375" style="276" customWidth="1"/>
    <col min="7916" max="7916" width="9.42578125" style="276" bestFit="1" customWidth="1"/>
    <col min="7917" max="8159" width="8.7109375" style="276"/>
    <col min="8160" max="8160" width="12.7109375" style="276" customWidth="1"/>
    <col min="8161" max="8161" width="60.28515625" style="276" customWidth="1"/>
    <col min="8162" max="8163" width="12.7109375" style="276" customWidth="1"/>
    <col min="8164" max="8164" width="12.28515625" style="276" bestFit="1" customWidth="1"/>
    <col min="8165" max="8165" width="15.7109375" style="276" customWidth="1"/>
    <col min="8166" max="8166" width="17.7109375" style="276" bestFit="1" customWidth="1"/>
    <col min="8167" max="8167" width="8.7109375" style="276"/>
    <col min="8168" max="8168" width="18" style="276" bestFit="1" customWidth="1"/>
    <col min="8169" max="8170" width="8.7109375" style="276"/>
    <col min="8171" max="8171" width="21.7109375" style="276" customWidth="1"/>
    <col min="8172" max="8172" width="9.42578125" style="276" bestFit="1" customWidth="1"/>
    <col min="8173" max="8415" width="8.7109375" style="276"/>
    <col min="8416" max="8416" width="12.7109375" style="276" customWidth="1"/>
    <col min="8417" max="8417" width="60.28515625" style="276" customWidth="1"/>
    <col min="8418" max="8419" width="12.7109375" style="276" customWidth="1"/>
    <col min="8420" max="8420" width="12.28515625" style="276" bestFit="1" customWidth="1"/>
    <col min="8421" max="8421" width="15.7109375" style="276" customWidth="1"/>
    <col min="8422" max="8422" width="17.7109375" style="276" bestFit="1" customWidth="1"/>
    <col min="8423" max="8423" width="8.7109375" style="276"/>
    <col min="8424" max="8424" width="18" style="276" bestFit="1" customWidth="1"/>
    <col min="8425" max="8426" width="8.7109375" style="276"/>
    <col min="8427" max="8427" width="21.7109375" style="276" customWidth="1"/>
    <col min="8428" max="8428" width="9.42578125" style="276" bestFit="1" customWidth="1"/>
    <col min="8429" max="8671" width="8.7109375" style="276"/>
    <col min="8672" max="8672" width="12.7109375" style="276" customWidth="1"/>
    <col min="8673" max="8673" width="60.28515625" style="276" customWidth="1"/>
    <col min="8674" max="8675" width="12.7109375" style="276" customWidth="1"/>
    <col min="8676" max="8676" width="12.28515625" style="276" bestFit="1" customWidth="1"/>
    <col min="8677" max="8677" width="15.7109375" style="276" customWidth="1"/>
    <col min="8678" max="8678" width="17.7109375" style="276" bestFit="1" customWidth="1"/>
    <col min="8679" max="8679" width="8.7109375" style="276"/>
    <col min="8680" max="8680" width="18" style="276" bestFit="1" customWidth="1"/>
    <col min="8681" max="8682" width="8.7109375" style="276"/>
    <col min="8683" max="8683" width="21.7109375" style="276" customWidth="1"/>
    <col min="8684" max="8684" width="9.42578125" style="276" bestFit="1" customWidth="1"/>
    <col min="8685" max="8927" width="8.7109375" style="276"/>
    <col min="8928" max="8928" width="12.7109375" style="276" customWidth="1"/>
    <col min="8929" max="8929" width="60.28515625" style="276" customWidth="1"/>
    <col min="8930" max="8931" width="12.7109375" style="276" customWidth="1"/>
    <col min="8932" max="8932" width="12.28515625" style="276" bestFit="1" customWidth="1"/>
    <col min="8933" max="8933" width="15.7109375" style="276" customWidth="1"/>
    <col min="8934" max="8934" width="17.7109375" style="276" bestFit="1" customWidth="1"/>
    <col min="8935" max="8935" width="8.7109375" style="276"/>
    <col min="8936" max="8936" width="18" style="276" bestFit="1" customWidth="1"/>
    <col min="8937" max="8938" width="8.7109375" style="276"/>
    <col min="8939" max="8939" width="21.7109375" style="276" customWidth="1"/>
    <col min="8940" max="8940" width="9.42578125" style="276" bestFit="1" customWidth="1"/>
    <col min="8941" max="9183" width="8.7109375" style="276"/>
    <col min="9184" max="9184" width="12.7109375" style="276" customWidth="1"/>
    <col min="9185" max="9185" width="60.28515625" style="276" customWidth="1"/>
    <col min="9186" max="9187" width="12.7109375" style="276" customWidth="1"/>
    <col min="9188" max="9188" width="12.28515625" style="276" bestFit="1" customWidth="1"/>
    <col min="9189" max="9189" width="15.7109375" style="276" customWidth="1"/>
    <col min="9190" max="9190" width="17.7109375" style="276" bestFit="1" customWidth="1"/>
    <col min="9191" max="9191" width="8.7109375" style="276"/>
    <col min="9192" max="9192" width="18" style="276" bestFit="1" customWidth="1"/>
    <col min="9193" max="9194" width="8.7109375" style="276"/>
    <col min="9195" max="9195" width="21.7109375" style="276" customWidth="1"/>
    <col min="9196" max="9196" width="9.42578125" style="276" bestFit="1" customWidth="1"/>
    <col min="9197" max="9439" width="8.7109375" style="276"/>
    <col min="9440" max="9440" width="12.7109375" style="276" customWidth="1"/>
    <col min="9441" max="9441" width="60.28515625" style="276" customWidth="1"/>
    <col min="9442" max="9443" width="12.7109375" style="276" customWidth="1"/>
    <col min="9444" max="9444" width="12.28515625" style="276" bestFit="1" customWidth="1"/>
    <col min="9445" max="9445" width="15.7109375" style="276" customWidth="1"/>
    <col min="9446" max="9446" width="17.7109375" style="276" bestFit="1" customWidth="1"/>
    <col min="9447" max="9447" width="8.7109375" style="276"/>
    <col min="9448" max="9448" width="18" style="276" bestFit="1" customWidth="1"/>
    <col min="9449" max="9450" width="8.7109375" style="276"/>
    <col min="9451" max="9451" width="21.7109375" style="276" customWidth="1"/>
    <col min="9452" max="9452" width="9.42578125" style="276" bestFit="1" customWidth="1"/>
    <col min="9453" max="9695" width="8.7109375" style="276"/>
    <col min="9696" max="9696" width="12.7109375" style="276" customWidth="1"/>
    <col min="9697" max="9697" width="60.28515625" style="276" customWidth="1"/>
    <col min="9698" max="9699" width="12.7109375" style="276" customWidth="1"/>
    <col min="9700" max="9700" width="12.28515625" style="276" bestFit="1" customWidth="1"/>
    <col min="9701" max="9701" width="15.7109375" style="276" customWidth="1"/>
    <col min="9702" max="9702" width="17.7109375" style="276" bestFit="1" customWidth="1"/>
    <col min="9703" max="9703" width="8.7109375" style="276"/>
    <col min="9704" max="9704" width="18" style="276" bestFit="1" customWidth="1"/>
    <col min="9705" max="9706" width="8.7109375" style="276"/>
    <col min="9707" max="9707" width="21.7109375" style="276" customWidth="1"/>
    <col min="9708" max="9708" width="9.42578125" style="276" bestFit="1" customWidth="1"/>
    <col min="9709" max="9951" width="8.7109375" style="276"/>
    <col min="9952" max="9952" width="12.7109375" style="276" customWidth="1"/>
    <col min="9953" max="9953" width="60.28515625" style="276" customWidth="1"/>
    <col min="9954" max="9955" width="12.7109375" style="276" customWidth="1"/>
    <col min="9956" max="9956" width="12.28515625" style="276" bestFit="1" customWidth="1"/>
    <col min="9957" max="9957" width="15.7109375" style="276" customWidth="1"/>
    <col min="9958" max="9958" width="17.7109375" style="276" bestFit="1" customWidth="1"/>
    <col min="9959" max="9959" width="8.7109375" style="276"/>
    <col min="9960" max="9960" width="18" style="276" bestFit="1" customWidth="1"/>
    <col min="9961" max="9962" width="8.7109375" style="276"/>
    <col min="9963" max="9963" width="21.7109375" style="276" customWidth="1"/>
    <col min="9964" max="9964" width="9.42578125" style="276" bestFit="1" customWidth="1"/>
    <col min="9965" max="10207" width="8.7109375" style="276"/>
    <col min="10208" max="10208" width="12.7109375" style="276" customWidth="1"/>
    <col min="10209" max="10209" width="60.28515625" style="276" customWidth="1"/>
    <col min="10210" max="10211" width="12.7109375" style="276" customWidth="1"/>
    <col min="10212" max="10212" width="12.28515625" style="276" bestFit="1" customWidth="1"/>
    <col min="10213" max="10213" width="15.7109375" style="276" customWidth="1"/>
    <col min="10214" max="10214" width="17.7109375" style="276" bestFit="1" customWidth="1"/>
    <col min="10215" max="10215" width="8.7109375" style="276"/>
    <col min="10216" max="10216" width="18" style="276" bestFit="1" customWidth="1"/>
    <col min="10217" max="10218" width="8.7109375" style="276"/>
    <col min="10219" max="10219" width="21.7109375" style="276" customWidth="1"/>
    <col min="10220" max="10220" width="9.42578125" style="276" bestFit="1" customWidth="1"/>
    <col min="10221" max="10463" width="8.7109375" style="276"/>
    <col min="10464" max="10464" width="12.7109375" style="276" customWidth="1"/>
    <col min="10465" max="10465" width="60.28515625" style="276" customWidth="1"/>
    <col min="10466" max="10467" width="12.7109375" style="276" customWidth="1"/>
    <col min="10468" max="10468" width="12.28515625" style="276" bestFit="1" customWidth="1"/>
    <col min="10469" max="10469" width="15.7109375" style="276" customWidth="1"/>
    <col min="10470" max="10470" width="17.7109375" style="276" bestFit="1" customWidth="1"/>
    <col min="10471" max="10471" width="8.7109375" style="276"/>
    <col min="10472" max="10472" width="18" style="276" bestFit="1" customWidth="1"/>
    <col min="10473" max="10474" width="8.7109375" style="276"/>
    <col min="10475" max="10475" width="21.7109375" style="276" customWidth="1"/>
    <col min="10476" max="10476" width="9.42578125" style="276" bestFit="1" customWidth="1"/>
    <col min="10477" max="10719" width="8.7109375" style="276"/>
    <col min="10720" max="10720" width="12.7109375" style="276" customWidth="1"/>
    <col min="10721" max="10721" width="60.28515625" style="276" customWidth="1"/>
    <col min="10722" max="10723" width="12.7109375" style="276" customWidth="1"/>
    <col min="10724" max="10724" width="12.28515625" style="276" bestFit="1" customWidth="1"/>
    <col min="10725" max="10725" width="15.7109375" style="276" customWidth="1"/>
    <col min="10726" max="10726" width="17.7109375" style="276" bestFit="1" customWidth="1"/>
    <col min="10727" max="10727" width="8.7109375" style="276"/>
    <col min="10728" max="10728" width="18" style="276" bestFit="1" customWidth="1"/>
    <col min="10729" max="10730" width="8.7109375" style="276"/>
    <col min="10731" max="10731" width="21.7109375" style="276" customWidth="1"/>
    <col min="10732" max="10732" width="9.42578125" style="276" bestFit="1" customWidth="1"/>
    <col min="10733" max="10975" width="8.7109375" style="276"/>
    <col min="10976" max="10976" width="12.7109375" style="276" customWidth="1"/>
    <col min="10977" max="10977" width="60.28515625" style="276" customWidth="1"/>
    <col min="10978" max="10979" width="12.7109375" style="276" customWidth="1"/>
    <col min="10980" max="10980" width="12.28515625" style="276" bestFit="1" customWidth="1"/>
    <col min="10981" max="10981" width="15.7109375" style="276" customWidth="1"/>
    <col min="10982" max="10982" width="17.7109375" style="276" bestFit="1" customWidth="1"/>
    <col min="10983" max="10983" width="8.7109375" style="276"/>
    <col min="10984" max="10984" width="18" style="276" bestFit="1" customWidth="1"/>
    <col min="10985" max="10986" width="8.7109375" style="276"/>
    <col min="10987" max="10987" width="21.7109375" style="276" customWidth="1"/>
    <col min="10988" max="10988" width="9.42578125" style="276" bestFit="1" customWidth="1"/>
    <col min="10989" max="11231" width="8.7109375" style="276"/>
    <col min="11232" max="11232" width="12.7109375" style="276" customWidth="1"/>
    <col min="11233" max="11233" width="60.28515625" style="276" customWidth="1"/>
    <col min="11234" max="11235" width="12.7109375" style="276" customWidth="1"/>
    <col min="11236" max="11236" width="12.28515625" style="276" bestFit="1" customWidth="1"/>
    <col min="11237" max="11237" width="15.7109375" style="276" customWidth="1"/>
    <col min="11238" max="11238" width="17.7109375" style="276" bestFit="1" customWidth="1"/>
    <col min="11239" max="11239" width="8.7109375" style="276"/>
    <col min="11240" max="11240" width="18" style="276" bestFit="1" customWidth="1"/>
    <col min="11241" max="11242" width="8.7109375" style="276"/>
    <col min="11243" max="11243" width="21.7109375" style="276" customWidth="1"/>
    <col min="11244" max="11244" width="9.42578125" style="276" bestFit="1" customWidth="1"/>
    <col min="11245" max="11487" width="8.7109375" style="276"/>
    <col min="11488" max="11488" width="12.7109375" style="276" customWidth="1"/>
    <col min="11489" max="11489" width="60.28515625" style="276" customWidth="1"/>
    <col min="11490" max="11491" width="12.7109375" style="276" customWidth="1"/>
    <col min="11492" max="11492" width="12.28515625" style="276" bestFit="1" customWidth="1"/>
    <col min="11493" max="11493" width="15.7109375" style="276" customWidth="1"/>
    <col min="11494" max="11494" width="17.7109375" style="276" bestFit="1" customWidth="1"/>
    <col min="11495" max="11495" width="8.7109375" style="276"/>
    <col min="11496" max="11496" width="18" style="276" bestFit="1" customWidth="1"/>
    <col min="11497" max="11498" width="8.7109375" style="276"/>
    <col min="11499" max="11499" width="21.7109375" style="276" customWidth="1"/>
    <col min="11500" max="11500" width="9.42578125" style="276" bestFit="1" customWidth="1"/>
    <col min="11501" max="11743" width="8.7109375" style="276"/>
    <col min="11744" max="11744" width="12.7109375" style="276" customWidth="1"/>
    <col min="11745" max="11745" width="60.28515625" style="276" customWidth="1"/>
    <col min="11746" max="11747" width="12.7109375" style="276" customWidth="1"/>
    <col min="11748" max="11748" width="12.28515625" style="276" bestFit="1" customWidth="1"/>
    <col min="11749" max="11749" width="15.7109375" style="276" customWidth="1"/>
    <col min="11750" max="11750" width="17.7109375" style="276" bestFit="1" customWidth="1"/>
    <col min="11751" max="11751" width="8.7109375" style="276"/>
    <col min="11752" max="11752" width="18" style="276" bestFit="1" customWidth="1"/>
    <col min="11753" max="11754" width="8.7109375" style="276"/>
    <col min="11755" max="11755" width="21.7109375" style="276" customWidth="1"/>
    <col min="11756" max="11756" width="9.42578125" style="276" bestFit="1" customWidth="1"/>
    <col min="11757" max="11999" width="8.7109375" style="276"/>
    <col min="12000" max="12000" width="12.7109375" style="276" customWidth="1"/>
    <col min="12001" max="12001" width="60.28515625" style="276" customWidth="1"/>
    <col min="12002" max="12003" width="12.7109375" style="276" customWidth="1"/>
    <col min="12004" max="12004" width="12.28515625" style="276" bestFit="1" customWidth="1"/>
    <col min="12005" max="12005" width="15.7109375" style="276" customWidth="1"/>
    <col min="12006" max="12006" width="17.7109375" style="276" bestFit="1" customWidth="1"/>
    <col min="12007" max="12007" width="8.7109375" style="276"/>
    <col min="12008" max="12008" width="18" style="276" bestFit="1" customWidth="1"/>
    <col min="12009" max="12010" width="8.7109375" style="276"/>
    <col min="12011" max="12011" width="21.7109375" style="276" customWidth="1"/>
    <col min="12012" max="12012" width="9.42578125" style="276" bestFit="1" customWidth="1"/>
    <col min="12013" max="12255" width="8.7109375" style="276"/>
    <col min="12256" max="12256" width="12.7109375" style="276" customWidth="1"/>
    <col min="12257" max="12257" width="60.28515625" style="276" customWidth="1"/>
    <col min="12258" max="12259" width="12.7109375" style="276" customWidth="1"/>
    <col min="12260" max="12260" width="12.28515625" style="276" bestFit="1" customWidth="1"/>
    <col min="12261" max="12261" width="15.7109375" style="276" customWidth="1"/>
    <col min="12262" max="12262" width="17.7109375" style="276" bestFit="1" customWidth="1"/>
    <col min="12263" max="12263" width="8.7109375" style="276"/>
    <col min="12264" max="12264" width="18" style="276" bestFit="1" customWidth="1"/>
    <col min="12265" max="12266" width="8.7109375" style="276"/>
    <col min="12267" max="12267" width="21.7109375" style="276" customWidth="1"/>
    <col min="12268" max="12268" width="9.42578125" style="276" bestFit="1" customWidth="1"/>
    <col min="12269" max="12511" width="8.7109375" style="276"/>
    <col min="12512" max="12512" width="12.7109375" style="276" customWidth="1"/>
    <col min="12513" max="12513" width="60.28515625" style="276" customWidth="1"/>
    <col min="12514" max="12515" width="12.7109375" style="276" customWidth="1"/>
    <col min="12516" max="12516" width="12.28515625" style="276" bestFit="1" customWidth="1"/>
    <col min="12517" max="12517" width="15.7109375" style="276" customWidth="1"/>
    <col min="12518" max="12518" width="17.7109375" style="276" bestFit="1" customWidth="1"/>
    <col min="12519" max="12519" width="8.7109375" style="276"/>
    <col min="12520" max="12520" width="18" style="276" bestFit="1" customWidth="1"/>
    <col min="12521" max="12522" width="8.7109375" style="276"/>
    <col min="12523" max="12523" width="21.7109375" style="276" customWidth="1"/>
    <col min="12524" max="12524" width="9.42578125" style="276" bestFit="1" customWidth="1"/>
    <col min="12525" max="12767" width="8.7109375" style="276"/>
    <col min="12768" max="12768" width="12.7109375" style="276" customWidth="1"/>
    <col min="12769" max="12769" width="60.28515625" style="276" customWidth="1"/>
    <col min="12770" max="12771" width="12.7109375" style="276" customWidth="1"/>
    <col min="12772" max="12772" width="12.28515625" style="276" bestFit="1" customWidth="1"/>
    <col min="12773" max="12773" width="15.7109375" style="276" customWidth="1"/>
    <col min="12774" max="12774" width="17.7109375" style="276" bestFit="1" customWidth="1"/>
    <col min="12775" max="12775" width="8.7109375" style="276"/>
    <col min="12776" max="12776" width="18" style="276" bestFit="1" customWidth="1"/>
    <col min="12777" max="12778" width="8.7109375" style="276"/>
    <col min="12779" max="12779" width="21.7109375" style="276" customWidth="1"/>
    <col min="12780" max="12780" width="9.42578125" style="276" bestFit="1" customWidth="1"/>
    <col min="12781" max="13023" width="8.7109375" style="276"/>
    <col min="13024" max="13024" width="12.7109375" style="276" customWidth="1"/>
    <col min="13025" max="13025" width="60.28515625" style="276" customWidth="1"/>
    <col min="13026" max="13027" width="12.7109375" style="276" customWidth="1"/>
    <col min="13028" max="13028" width="12.28515625" style="276" bestFit="1" customWidth="1"/>
    <col min="13029" max="13029" width="15.7109375" style="276" customWidth="1"/>
    <col min="13030" max="13030" width="17.7109375" style="276" bestFit="1" customWidth="1"/>
    <col min="13031" max="13031" width="8.7109375" style="276"/>
    <col min="13032" max="13032" width="18" style="276" bestFit="1" customWidth="1"/>
    <col min="13033" max="13034" width="8.7109375" style="276"/>
    <col min="13035" max="13035" width="21.7109375" style="276" customWidth="1"/>
    <col min="13036" max="13036" width="9.42578125" style="276" bestFit="1" customWidth="1"/>
    <col min="13037" max="13279" width="8.7109375" style="276"/>
    <col min="13280" max="13280" width="12.7109375" style="276" customWidth="1"/>
    <col min="13281" max="13281" width="60.28515625" style="276" customWidth="1"/>
    <col min="13282" max="13283" width="12.7109375" style="276" customWidth="1"/>
    <col min="13284" max="13284" width="12.28515625" style="276" bestFit="1" customWidth="1"/>
    <col min="13285" max="13285" width="15.7109375" style="276" customWidth="1"/>
    <col min="13286" max="13286" width="17.7109375" style="276" bestFit="1" customWidth="1"/>
    <col min="13287" max="13287" width="8.7109375" style="276"/>
    <col min="13288" max="13288" width="18" style="276" bestFit="1" customWidth="1"/>
    <col min="13289" max="13290" width="8.7109375" style="276"/>
    <col min="13291" max="13291" width="21.7109375" style="276" customWidth="1"/>
    <col min="13292" max="13292" width="9.42578125" style="276" bestFit="1" customWidth="1"/>
    <col min="13293" max="13535" width="8.7109375" style="276"/>
    <col min="13536" max="13536" width="12.7109375" style="276" customWidth="1"/>
    <col min="13537" max="13537" width="60.28515625" style="276" customWidth="1"/>
    <col min="13538" max="13539" width="12.7109375" style="276" customWidth="1"/>
    <col min="13540" max="13540" width="12.28515625" style="276" bestFit="1" customWidth="1"/>
    <col min="13541" max="13541" width="15.7109375" style="276" customWidth="1"/>
    <col min="13542" max="13542" width="17.7109375" style="276" bestFit="1" customWidth="1"/>
    <col min="13543" max="13543" width="8.7109375" style="276"/>
    <col min="13544" max="13544" width="18" style="276" bestFit="1" customWidth="1"/>
    <col min="13545" max="13546" width="8.7109375" style="276"/>
    <col min="13547" max="13547" width="21.7109375" style="276" customWidth="1"/>
    <col min="13548" max="13548" width="9.42578125" style="276" bestFit="1" customWidth="1"/>
    <col min="13549" max="13791" width="8.7109375" style="276"/>
    <col min="13792" max="13792" width="12.7109375" style="276" customWidth="1"/>
    <col min="13793" max="13793" width="60.28515625" style="276" customWidth="1"/>
    <col min="13794" max="13795" width="12.7109375" style="276" customWidth="1"/>
    <col min="13796" max="13796" width="12.28515625" style="276" bestFit="1" customWidth="1"/>
    <col min="13797" max="13797" width="15.7109375" style="276" customWidth="1"/>
    <col min="13798" max="13798" width="17.7109375" style="276" bestFit="1" customWidth="1"/>
    <col min="13799" max="13799" width="8.7109375" style="276"/>
    <col min="13800" max="13800" width="18" style="276" bestFit="1" customWidth="1"/>
    <col min="13801" max="13802" width="8.7109375" style="276"/>
    <col min="13803" max="13803" width="21.7109375" style="276" customWidth="1"/>
    <col min="13804" max="13804" width="9.42578125" style="276" bestFit="1" customWidth="1"/>
    <col min="13805" max="14047" width="8.7109375" style="276"/>
    <col min="14048" max="14048" width="12.7109375" style="276" customWidth="1"/>
    <col min="14049" max="14049" width="60.28515625" style="276" customWidth="1"/>
    <col min="14050" max="14051" width="12.7109375" style="276" customWidth="1"/>
    <col min="14052" max="14052" width="12.28515625" style="276" bestFit="1" customWidth="1"/>
    <col min="14053" max="14053" width="15.7109375" style="276" customWidth="1"/>
    <col min="14054" max="14054" width="17.7109375" style="276" bestFit="1" customWidth="1"/>
    <col min="14055" max="14055" width="8.7109375" style="276"/>
    <col min="14056" max="14056" width="18" style="276" bestFit="1" customWidth="1"/>
    <col min="14057" max="14058" width="8.7109375" style="276"/>
    <col min="14059" max="14059" width="21.7109375" style="276" customWidth="1"/>
    <col min="14060" max="14060" width="9.42578125" style="276" bestFit="1" customWidth="1"/>
    <col min="14061" max="14303" width="8.7109375" style="276"/>
    <col min="14304" max="14304" width="12.7109375" style="276" customWidth="1"/>
    <col min="14305" max="14305" width="60.28515625" style="276" customWidth="1"/>
    <col min="14306" max="14307" width="12.7109375" style="276" customWidth="1"/>
    <col min="14308" max="14308" width="12.28515625" style="276" bestFit="1" customWidth="1"/>
    <col min="14309" max="14309" width="15.7109375" style="276" customWidth="1"/>
    <col min="14310" max="14310" width="17.7109375" style="276" bestFit="1" customWidth="1"/>
    <col min="14311" max="14311" width="8.7109375" style="276"/>
    <col min="14312" max="14312" width="18" style="276" bestFit="1" customWidth="1"/>
    <col min="14313" max="14314" width="8.7109375" style="276"/>
    <col min="14315" max="14315" width="21.7109375" style="276" customWidth="1"/>
    <col min="14316" max="14316" width="9.42578125" style="276" bestFit="1" customWidth="1"/>
    <col min="14317" max="14559" width="8.7109375" style="276"/>
    <col min="14560" max="14560" width="12.7109375" style="276" customWidth="1"/>
    <col min="14561" max="14561" width="60.28515625" style="276" customWidth="1"/>
    <col min="14562" max="14563" width="12.7109375" style="276" customWidth="1"/>
    <col min="14564" max="14564" width="12.28515625" style="276" bestFit="1" customWidth="1"/>
    <col min="14565" max="14565" width="15.7109375" style="276" customWidth="1"/>
    <col min="14566" max="14566" width="17.7109375" style="276" bestFit="1" customWidth="1"/>
    <col min="14567" max="14567" width="8.7109375" style="276"/>
    <col min="14568" max="14568" width="18" style="276" bestFit="1" customWidth="1"/>
    <col min="14569" max="14570" width="8.7109375" style="276"/>
    <col min="14571" max="14571" width="21.7109375" style="276" customWidth="1"/>
    <col min="14572" max="14572" width="9.42578125" style="276" bestFit="1" customWidth="1"/>
    <col min="14573" max="14815" width="8.7109375" style="276"/>
    <col min="14816" max="14816" width="12.7109375" style="276" customWidth="1"/>
    <col min="14817" max="14817" width="60.28515625" style="276" customWidth="1"/>
    <col min="14818" max="14819" width="12.7109375" style="276" customWidth="1"/>
    <col min="14820" max="14820" width="12.28515625" style="276" bestFit="1" customWidth="1"/>
    <col min="14821" max="14821" width="15.7109375" style="276" customWidth="1"/>
    <col min="14822" max="14822" width="17.7109375" style="276" bestFit="1" customWidth="1"/>
    <col min="14823" max="14823" width="8.7109375" style="276"/>
    <col min="14824" max="14824" width="18" style="276" bestFit="1" customWidth="1"/>
    <col min="14825" max="14826" width="8.7109375" style="276"/>
    <col min="14827" max="14827" width="21.7109375" style="276" customWidth="1"/>
    <col min="14828" max="14828" width="9.42578125" style="276" bestFit="1" customWidth="1"/>
    <col min="14829" max="15071" width="8.7109375" style="276"/>
    <col min="15072" max="15072" width="12.7109375" style="276" customWidth="1"/>
    <col min="15073" max="15073" width="60.28515625" style="276" customWidth="1"/>
    <col min="15074" max="15075" width="12.7109375" style="276" customWidth="1"/>
    <col min="15076" max="15076" width="12.28515625" style="276" bestFit="1" customWidth="1"/>
    <col min="15077" max="15077" width="15.7109375" style="276" customWidth="1"/>
    <col min="15078" max="15078" width="17.7109375" style="276" bestFit="1" customWidth="1"/>
    <col min="15079" max="15079" width="8.7109375" style="276"/>
    <col min="15080" max="15080" width="18" style="276" bestFit="1" customWidth="1"/>
    <col min="15081" max="15082" width="8.7109375" style="276"/>
    <col min="15083" max="15083" width="21.7109375" style="276" customWidth="1"/>
    <col min="15084" max="15084" width="9.42578125" style="276" bestFit="1" customWidth="1"/>
    <col min="15085" max="15327" width="8.7109375" style="276"/>
    <col min="15328" max="15328" width="12.7109375" style="276" customWidth="1"/>
    <col min="15329" max="15329" width="60.28515625" style="276" customWidth="1"/>
    <col min="15330" max="15331" width="12.7109375" style="276" customWidth="1"/>
    <col min="15332" max="15332" width="12.28515625" style="276" bestFit="1" customWidth="1"/>
    <col min="15333" max="15333" width="15.7109375" style="276" customWidth="1"/>
    <col min="15334" max="15334" width="17.7109375" style="276" bestFit="1" customWidth="1"/>
    <col min="15335" max="15335" width="8.7109375" style="276"/>
    <col min="15336" max="15336" width="18" style="276" bestFit="1" customWidth="1"/>
    <col min="15337" max="15338" width="8.7109375" style="276"/>
    <col min="15339" max="15339" width="21.7109375" style="276" customWidth="1"/>
    <col min="15340" max="15340" width="9.42578125" style="276" bestFit="1" customWidth="1"/>
    <col min="15341" max="15583" width="8.7109375" style="276"/>
    <col min="15584" max="15584" width="12.7109375" style="276" customWidth="1"/>
    <col min="15585" max="15585" width="60.28515625" style="276" customWidth="1"/>
    <col min="15586" max="15587" width="12.7109375" style="276" customWidth="1"/>
    <col min="15588" max="15588" width="12.28515625" style="276" bestFit="1" customWidth="1"/>
    <col min="15589" max="15589" width="15.7109375" style="276" customWidth="1"/>
    <col min="15590" max="15590" width="17.7109375" style="276" bestFit="1" customWidth="1"/>
    <col min="15591" max="15591" width="8.7109375" style="276"/>
    <col min="15592" max="15592" width="18" style="276" bestFit="1" customWidth="1"/>
    <col min="15593" max="15594" width="8.7109375" style="276"/>
    <col min="15595" max="15595" width="21.7109375" style="276" customWidth="1"/>
    <col min="15596" max="15596" width="9.42578125" style="276" bestFit="1" customWidth="1"/>
    <col min="15597" max="15839" width="8.7109375" style="276"/>
    <col min="15840" max="15840" width="12.7109375" style="276" customWidth="1"/>
    <col min="15841" max="15841" width="60.28515625" style="276" customWidth="1"/>
    <col min="15842" max="15843" width="12.7109375" style="276" customWidth="1"/>
    <col min="15844" max="15844" width="12.28515625" style="276" bestFit="1" customWidth="1"/>
    <col min="15845" max="15845" width="15.7109375" style="276" customWidth="1"/>
    <col min="15846" max="15846" width="17.7109375" style="276" bestFit="1" customWidth="1"/>
    <col min="15847" max="15847" width="8.7109375" style="276"/>
    <col min="15848" max="15848" width="18" style="276" bestFit="1" customWidth="1"/>
    <col min="15849" max="15850" width="8.7109375" style="276"/>
    <col min="15851" max="15851" width="21.7109375" style="276" customWidth="1"/>
    <col min="15852" max="15852" width="9.42578125" style="276" bestFit="1" customWidth="1"/>
    <col min="15853" max="16095" width="8.7109375" style="276"/>
    <col min="16096" max="16096" width="12.7109375" style="276" customWidth="1"/>
    <col min="16097" max="16097" width="60.28515625" style="276" customWidth="1"/>
    <col min="16098" max="16099" width="12.7109375" style="276" customWidth="1"/>
    <col min="16100" max="16100" width="12.28515625" style="276" bestFit="1" customWidth="1"/>
    <col min="16101" max="16101" width="15.7109375" style="276" customWidth="1"/>
    <col min="16102" max="16102" width="17.7109375" style="276" bestFit="1" customWidth="1"/>
    <col min="16103" max="16103" width="8.7109375" style="276"/>
    <col min="16104" max="16104" width="18" style="276" bestFit="1" customWidth="1"/>
    <col min="16105" max="16106" width="8.7109375" style="276"/>
    <col min="16107" max="16107" width="21.7109375" style="276" customWidth="1"/>
    <col min="16108" max="16108" width="9.42578125" style="276" bestFit="1" customWidth="1"/>
    <col min="16109" max="16384" width="8.7109375" style="276"/>
  </cols>
  <sheetData>
    <row r="1" spans="1:15" ht="81" customHeight="1" thickBot="1" x14ac:dyDescent="0.25">
      <c r="A1" s="649" t="s">
        <v>382</v>
      </c>
      <c r="B1" s="650"/>
      <c r="C1" s="671" t="str">
        <f>'Custo Gerencial LOTE 04'!C2:E2</f>
        <v xml:space="preserve">
BR-116/293/RS (ECO SUL)
BR-101/290/386/448/RS (RIS)</v>
      </c>
      <c r="D1" s="671"/>
      <c r="E1" s="671"/>
      <c r="F1" s="275">
        <f>'Custo Gerencial LOTE 04'!C3</f>
        <v>930.7</v>
      </c>
    </row>
    <row r="2" spans="1:15" ht="19.899999999999999" customHeight="1" thickBot="1" x14ac:dyDescent="0.3">
      <c r="A2" s="277"/>
      <c r="B2" s="278"/>
      <c r="C2" s="278"/>
      <c r="D2" s="278"/>
      <c r="E2" s="279"/>
      <c r="J2" s="280" t="s">
        <v>383</v>
      </c>
      <c r="K2" s="113">
        <v>400</v>
      </c>
    </row>
    <row r="3" spans="1:15" ht="19.899999999999999" customHeight="1" x14ac:dyDescent="0.2">
      <c r="A3" s="281" t="s">
        <v>247</v>
      </c>
      <c r="B3" s="647" t="s">
        <v>384</v>
      </c>
      <c r="C3" s="647"/>
      <c r="D3" s="647"/>
      <c r="E3" s="647"/>
      <c r="F3" s="648"/>
      <c r="J3" s="644" t="s">
        <v>385</v>
      </c>
      <c r="K3" s="645"/>
      <c r="L3" s="645"/>
      <c r="M3" s="645"/>
      <c r="N3" s="645"/>
      <c r="O3" s="646"/>
    </row>
    <row r="4" spans="1:15" ht="19.899999999999999" customHeight="1" x14ac:dyDescent="0.2">
      <c r="A4" s="282" t="s">
        <v>101</v>
      </c>
      <c r="B4" s="283" t="s">
        <v>103</v>
      </c>
      <c r="C4" s="283" t="s">
        <v>104</v>
      </c>
      <c r="D4" s="283" t="s">
        <v>105</v>
      </c>
      <c r="E4" s="283" t="s">
        <v>386</v>
      </c>
      <c r="F4" s="284" t="s">
        <v>387</v>
      </c>
      <c r="J4" s="285" t="s">
        <v>388</v>
      </c>
      <c r="K4" s="286" t="s">
        <v>389</v>
      </c>
      <c r="L4" s="286" t="s">
        <v>390</v>
      </c>
      <c r="M4" s="286" t="s">
        <v>391</v>
      </c>
      <c r="N4" s="286" t="s">
        <v>392</v>
      </c>
      <c r="O4" s="286" t="s">
        <v>393</v>
      </c>
    </row>
    <row r="5" spans="1:15" ht="19.899999999999999" customHeight="1" x14ac:dyDescent="0.2">
      <c r="A5" s="287"/>
      <c r="B5" s="52" t="str">
        <f>B3</f>
        <v>Relatório de Apoio na Análise da Monitoração do Pavimento</v>
      </c>
      <c r="C5" s="53"/>
      <c r="D5" s="288"/>
      <c r="E5" s="58"/>
      <c r="F5" s="54">
        <f>F24+F26</f>
        <v>810574.52011815773</v>
      </c>
      <c r="J5" s="285" t="s">
        <v>394</v>
      </c>
      <c r="K5" s="289">
        <f>264*O6</f>
        <v>2112</v>
      </c>
      <c r="L5" s="285">
        <v>12</v>
      </c>
      <c r="M5" s="285"/>
      <c r="N5" s="285"/>
      <c r="O5" s="285"/>
    </row>
    <row r="6" spans="1:15" ht="19.899999999999999" customHeight="1" x14ac:dyDescent="0.2">
      <c r="A6" s="287">
        <v>1</v>
      </c>
      <c r="B6" s="52" t="s">
        <v>395</v>
      </c>
      <c r="C6" s="53"/>
      <c r="D6" s="288"/>
      <c r="E6" s="58"/>
      <c r="F6" s="54">
        <f>SUM(F7:F9)</f>
        <v>27886.750239999998</v>
      </c>
      <c r="J6" s="285"/>
      <c r="K6" s="285"/>
      <c r="L6" s="285"/>
      <c r="M6" s="290">
        <f>N6*O6</f>
        <v>176</v>
      </c>
      <c r="N6" s="285">
        <v>22</v>
      </c>
      <c r="O6" s="290">
        <v>8</v>
      </c>
    </row>
    <row r="7" spans="1:15" ht="19.899999999999999" customHeight="1" x14ac:dyDescent="0.2">
      <c r="A7" s="291" t="s">
        <v>119</v>
      </c>
      <c r="B7" s="55" t="s">
        <v>396</v>
      </c>
      <c r="C7" s="53" t="s">
        <v>397</v>
      </c>
      <c r="D7" s="480">
        <f>($H$7*$F$1)/$K$2</f>
        <v>204.75400000000002</v>
      </c>
      <c r="E7" s="63">
        <f>'Tabela DNIT-Consult'!$L$9/176</f>
        <v>76.31948863636363</v>
      </c>
      <c r="F7" s="50">
        <f>D7*E7</f>
        <v>15626.72057625</v>
      </c>
      <c r="H7" s="292">
        <f>M7</f>
        <v>88</v>
      </c>
      <c r="J7" s="293"/>
      <c r="K7" s="293"/>
      <c r="L7" s="294">
        <v>0.5</v>
      </c>
      <c r="M7" s="290">
        <f>M6*(L7)</f>
        <v>88</v>
      </c>
      <c r="N7" s="293"/>
      <c r="O7" s="293"/>
    </row>
    <row r="8" spans="1:15" ht="19.899999999999999" customHeight="1" x14ac:dyDescent="0.2">
      <c r="A8" s="291" t="s">
        <v>123</v>
      </c>
      <c r="B8" s="55" t="s">
        <v>398</v>
      </c>
      <c r="C8" s="53" t="s">
        <v>397</v>
      </c>
      <c r="D8" s="480">
        <f>($H$7*$F$1)/$K$2</f>
        <v>204.75400000000002</v>
      </c>
      <c r="E8" s="63">
        <f>'Planilha base'!$F$16/176</f>
        <v>49.121022727272724</v>
      </c>
      <c r="F8" s="50">
        <f>D8*E8</f>
        <v>10057.725887500001</v>
      </c>
      <c r="L8" s="295"/>
      <c r="M8" s="296"/>
    </row>
    <row r="9" spans="1:15" ht="19.899999999999999" customHeight="1" x14ac:dyDescent="0.2">
      <c r="A9" s="291" t="s">
        <v>137</v>
      </c>
      <c r="B9" s="55" t="s">
        <v>399</v>
      </c>
      <c r="C9" s="53" t="s">
        <v>397</v>
      </c>
      <c r="D9" s="480">
        <f>($H$7*$F$1)/$K$2</f>
        <v>204.75400000000002</v>
      </c>
      <c r="E9" s="63">
        <f>'Planilha base'!$F$27/176</f>
        <v>10.755852272727273</v>
      </c>
      <c r="F9" s="50">
        <f>D9*E9</f>
        <v>2202.3037762500003</v>
      </c>
      <c r="L9" s="160"/>
    </row>
    <row r="10" spans="1:15" ht="19.899999999999999" customHeight="1" x14ac:dyDescent="0.2">
      <c r="A10" s="291"/>
      <c r="B10" s="55"/>
      <c r="C10" s="53"/>
      <c r="D10" s="297"/>
      <c r="E10" s="63"/>
      <c r="F10" s="50"/>
      <c r="O10" s="298"/>
    </row>
    <row r="11" spans="1:15" ht="19.899999999999999" customHeight="1" x14ac:dyDescent="0.2">
      <c r="A11" s="287">
        <v>2</v>
      </c>
      <c r="B11" s="52" t="s">
        <v>400</v>
      </c>
      <c r="C11" s="299"/>
      <c r="D11" s="288"/>
      <c r="E11" s="64"/>
      <c r="F11" s="54">
        <f>SUM(F12:F13)</f>
        <v>31802.049973695997</v>
      </c>
      <c r="M11" s="300"/>
    </row>
    <row r="12" spans="1:15" ht="19.899999999999999" customHeight="1" x14ac:dyDescent="0.2">
      <c r="A12" s="47" t="s">
        <v>401</v>
      </c>
      <c r="B12" s="55" t="s">
        <v>402</v>
      </c>
      <c r="C12" s="69" t="s">
        <v>146</v>
      </c>
      <c r="D12" s="297">
        <f>F6</f>
        <v>27886.750239999998</v>
      </c>
      <c r="E12" s="301">
        <v>0.84040000000000004</v>
      </c>
      <c r="F12" s="50">
        <f>D12*E12</f>
        <v>23436.024901696001</v>
      </c>
      <c r="M12" s="302"/>
    </row>
    <row r="13" spans="1:15" ht="19.899999999999999" customHeight="1" x14ac:dyDescent="0.2">
      <c r="A13" s="47" t="s">
        <v>403</v>
      </c>
      <c r="B13" s="55" t="s">
        <v>151</v>
      </c>
      <c r="C13" s="69" t="s">
        <v>146</v>
      </c>
      <c r="D13" s="297">
        <f>F6</f>
        <v>27886.750239999998</v>
      </c>
      <c r="E13" s="301">
        <v>0.3</v>
      </c>
      <c r="F13" s="50">
        <f>D13*E13</f>
        <v>8366.0250719999985</v>
      </c>
    </row>
    <row r="14" spans="1:15" ht="19.899999999999999" customHeight="1" x14ac:dyDescent="0.2">
      <c r="A14" s="291"/>
      <c r="B14" s="55"/>
      <c r="C14" s="53"/>
      <c r="D14" s="297"/>
      <c r="E14" s="63"/>
      <c r="F14" s="50"/>
    </row>
    <row r="15" spans="1:15" ht="19.899999999999999" customHeight="1" x14ac:dyDescent="0.2">
      <c r="A15" s="287">
        <v>3</v>
      </c>
      <c r="B15" s="52" t="s">
        <v>404</v>
      </c>
      <c r="C15" s="299"/>
      <c r="D15" s="288"/>
      <c r="E15" s="64"/>
      <c r="F15" s="54">
        <f>SUM(F16:F19)</f>
        <v>522305.36</v>
      </c>
    </row>
    <row r="16" spans="1:15" ht="19.899999999999999" customHeight="1" x14ac:dyDescent="0.2">
      <c r="A16" s="291" t="s">
        <v>405</v>
      </c>
      <c r="B16" s="55" t="s">
        <v>467</v>
      </c>
      <c r="C16" s="53" t="s">
        <v>406</v>
      </c>
      <c r="D16" s="297">
        <f>SUM('Faixas de Rolamento'!H16:H17)</f>
        <v>1039.288</v>
      </c>
      <c r="E16" s="63">
        <f>'Cotações FWD,IRI,LVC e Mancha'!AT19</f>
        <v>238</v>
      </c>
      <c r="F16" s="50">
        <f>D16*E16</f>
        <v>247350.54399999999</v>
      </c>
    </row>
    <row r="17" spans="1:16" ht="19.899999999999999" customHeight="1" x14ac:dyDescent="0.2">
      <c r="A17" s="291" t="s">
        <v>407</v>
      </c>
      <c r="B17" s="55" t="s">
        <v>468</v>
      </c>
      <c r="C17" s="53" t="s">
        <v>406</v>
      </c>
      <c r="D17" s="297">
        <f>SUM('Faixas de Rolamento'!I16:I17)</f>
        <v>2598.2200000000003</v>
      </c>
      <c r="E17" s="63">
        <f>'Cotações FWD,IRI,LVC e Mancha'!AU19</f>
        <v>64</v>
      </c>
      <c r="F17" s="50">
        <f>D17*E17</f>
        <v>166286.08000000002</v>
      </c>
    </row>
    <row r="18" spans="1:16" ht="19.899999999999999" customHeight="1" x14ac:dyDescent="0.2">
      <c r="A18" s="291" t="s">
        <v>408</v>
      </c>
      <c r="B18" s="55" t="s">
        <v>469</v>
      </c>
      <c r="C18" s="53" t="s">
        <v>406</v>
      </c>
      <c r="D18" s="297">
        <f>SUM('Faixas de Rolamento'!J16:J17)</f>
        <v>1039.288</v>
      </c>
      <c r="E18" s="63">
        <f>'Cotações FWD,IRI,LVC e Mancha'!AV19</f>
        <v>72</v>
      </c>
      <c r="F18" s="50">
        <f>D18*E18</f>
        <v>74828.736000000004</v>
      </c>
    </row>
    <row r="19" spans="1:16" ht="19.899999999999999" customHeight="1" x14ac:dyDescent="0.2">
      <c r="A19" s="291" t="s">
        <v>409</v>
      </c>
      <c r="B19" s="55" t="s">
        <v>429</v>
      </c>
      <c r="C19" s="53" t="s">
        <v>410</v>
      </c>
      <c r="D19" s="297">
        <f>SUM('Faixas de Rolamento'!K16:K17)</f>
        <v>141</v>
      </c>
      <c r="E19" s="63">
        <f>'Cotações FWD,IRI,LVC e Mancha'!AW19</f>
        <v>240</v>
      </c>
      <c r="F19" s="50">
        <f>D19*E19</f>
        <v>33840</v>
      </c>
    </row>
    <row r="20" spans="1:16" ht="19.899999999999999" customHeight="1" x14ac:dyDescent="0.2">
      <c r="A20" s="291"/>
      <c r="B20" s="55"/>
      <c r="C20" s="53"/>
      <c r="D20" s="297"/>
      <c r="E20" s="63"/>
      <c r="F20" s="50"/>
    </row>
    <row r="21" spans="1:16" ht="19.899999999999999" customHeight="1" x14ac:dyDescent="0.2">
      <c r="A21" s="287">
        <v>4</v>
      </c>
      <c r="B21" s="52" t="s">
        <v>411</v>
      </c>
      <c r="C21" s="299"/>
      <c r="D21" s="288"/>
      <c r="E21" s="64"/>
      <c r="F21" s="54">
        <f>SUM(F22:F23)</f>
        <v>178174.02018446173</v>
      </c>
    </row>
    <row r="22" spans="1:16" s="303" customFormat="1" ht="19.899999999999999" customHeight="1" x14ac:dyDescent="0.2">
      <c r="A22" s="47" t="s">
        <v>412</v>
      </c>
      <c r="B22" s="55" t="s">
        <v>186</v>
      </c>
      <c r="C22" s="69" t="s">
        <v>146</v>
      </c>
      <c r="D22" s="297">
        <f>F6+F11+F15</f>
        <v>581994.16021369596</v>
      </c>
      <c r="E22" s="301">
        <v>0.12</v>
      </c>
      <c r="F22" s="50">
        <f>D22*E22</f>
        <v>69839.29922564351</v>
      </c>
    </row>
    <row r="23" spans="1:16" s="303" customFormat="1" ht="19.899999999999999" customHeight="1" x14ac:dyDescent="0.2">
      <c r="A23" s="47" t="s">
        <v>413</v>
      </c>
      <c r="B23" s="55" t="s">
        <v>188</v>
      </c>
      <c r="C23" s="69" t="s">
        <v>146</v>
      </c>
      <c r="D23" s="297">
        <f>D22+F22</f>
        <v>651833.45943933947</v>
      </c>
      <c r="E23" s="301">
        <v>0.16619999999999999</v>
      </c>
      <c r="F23" s="50">
        <f>D23*E23</f>
        <v>108334.72095881822</v>
      </c>
    </row>
    <row r="24" spans="1:16" s="303" customFormat="1" ht="19.899999999999999" customHeight="1" x14ac:dyDescent="0.2">
      <c r="A24" s="47"/>
      <c r="B24" s="55"/>
      <c r="C24" s="69"/>
      <c r="D24" s="297"/>
      <c r="E24" s="301"/>
      <c r="F24" s="54">
        <f>F21+F15+F11+F6</f>
        <v>760168.18039815768</v>
      </c>
    </row>
    <row r="25" spans="1:16" s="303" customFormat="1" ht="19.899999999999999" customHeight="1" x14ac:dyDescent="0.2">
      <c r="A25" s="47"/>
      <c r="B25" s="55"/>
      <c r="C25" s="69"/>
      <c r="D25" s="297"/>
      <c r="E25" s="301"/>
      <c r="F25" s="50"/>
    </row>
    <row r="26" spans="1:16" s="303" customFormat="1" ht="19.899999999999999" customHeight="1" x14ac:dyDescent="0.2">
      <c r="A26" s="304" t="s">
        <v>414</v>
      </c>
      <c r="B26" s="305" t="s">
        <v>108</v>
      </c>
      <c r="C26" s="306" t="s">
        <v>397</v>
      </c>
      <c r="D26" s="307">
        <f>SUM(D7:D9)</f>
        <v>614.26200000000006</v>
      </c>
      <c r="E26" s="308">
        <f>'Custo Gerencial LOTE 04'!$G$81</f>
        <v>82.06</v>
      </c>
      <c r="F26" s="309">
        <f>D26*E26</f>
        <v>50406.339720000004</v>
      </c>
    </row>
    <row r="27" spans="1:16" s="303" customFormat="1" ht="19.899999999999999" customHeight="1" x14ac:dyDescent="0.2">
      <c r="A27" s="47"/>
      <c r="B27" s="55"/>
      <c r="C27" s="69"/>
      <c r="D27" s="297"/>
      <c r="E27" s="301"/>
      <c r="F27" s="50"/>
    </row>
    <row r="28" spans="1:16" s="303" customFormat="1" ht="19.899999999999999" customHeight="1" thickBot="1" x14ac:dyDescent="0.25">
      <c r="A28" s="310"/>
      <c r="B28" s="311" t="s">
        <v>415</v>
      </c>
      <c r="C28" s="312" t="s">
        <v>155</v>
      </c>
      <c r="D28" s="313">
        <v>1</v>
      </c>
      <c r="E28" s="314">
        <f>F5</f>
        <v>810574.52011815773</v>
      </c>
      <c r="F28" s="315">
        <f>E28*D28</f>
        <v>810574.52011815773</v>
      </c>
      <c r="J28" s="316"/>
      <c r="K28" s="316"/>
      <c r="L28" s="316"/>
      <c r="M28" s="316"/>
      <c r="N28" s="316"/>
      <c r="O28" s="316"/>
      <c r="P28" s="316"/>
    </row>
    <row r="29" spans="1:16" ht="19.899999999999999" customHeight="1" thickBot="1" x14ac:dyDescent="0.25">
      <c r="A29" s="317"/>
      <c r="B29" s="317"/>
      <c r="C29" s="317"/>
      <c r="D29" s="317"/>
      <c r="E29" s="317"/>
      <c r="F29" s="317"/>
      <c r="J29" s="318"/>
      <c r="K29" s="318"/>
      <c r="L29" s="318"/>
      <c r="M29" s="318"/>
      <c r="N29" s="318"/>
      <c r="O29" s="318"/>
      <c r="P29" s="318"/>
    </row>
    <row r="30" spans="1:16" ht="19.899999999999999" customHeight="1" x14ac:dyDescent="0.2">
      <c r="A30" s="281" t="s">
        <v>249</v>
      </c>
      <c r="B30" s="647" t="s">
        <v>420</v>
      </c>
      <c r="C30" s="647"/>
      <c r="D30" s="647"/>
      <c r="E30" s="647"/>
      <c r="F30" s="648"/>
    </row>
    <row r="31" spans="1:16" ht="19.899999999999999" customHeight="1" x14ac:dyDescent="0.2">
      <c r="A31" s="282" t="s">
        <v>101</v>
      </c>
      <c r="B31" s="283" t="s">
        <v>103</v>
      </c>
      <c r="C31" s="283" t="s">
        <v>104</v>
      </c>
      <c r="D31" s="283" t="s">
        <v>105</v>
      </c>
      <c r="E31" s="283" t="s">
        <v>386</v>
      </c>
      <c r="F31" s="284" t="s">
        <v>387</v>
      </c>
    </row>
    <row r="32" spans="1:16" ht="19.899999999999999" customHeight="1" x14ac:dyDescent="0.2">
      <c r="A32" s="287"/>
      <c r="B32" s="52" t="str">
        <f>B30</f>
        <v>Relatório de Apoio na Análise da Monitoração da Sinalização Horizontal</v>
      </c>
      <c r="C32" s="53"/>
      <c r="D32" s="288"/>
      <c r="E32" s="58"/>
      <c r="F32" s="54">
        <f>F48+F50</f>
        <v>145894.79400820378</v>
      </c>
    </row>
    <row r="33" spans="1:8" ht="19.899999999999999" customHeight="1" x14ac:dyDescent="0.2">
      <c r="A33" s="287">
        <v>1</v>
      </c>
      <c r="B33" s="52" t="s">
        <v>395</v>
      </c>
      <c r="C33" s="53"/>
      <c r="D33" s="288"/>
      <c r="E33" s="58"/>
      <c r="F33" s="54">
        <f>SUM(F34:F37)</f>
        <v>9658.578270681819</v>
      </c>
    </row>
    <row r="34" spans="1:8" ht="19.899999999999999" customHeight="1" x14ac:dyDescent="0.2">
      <c r="A34" s="291" t="s">
        <v>121</v>
      </c>
      <c r="B34" s="66" t="s">
        <v>416</v>
      </c>
      <c r="C34" s="72" t="s">
        <v>397</v>
      </c>
      <c r="D34" s="481">
        <f>(H34*$F$1)/$K$2</f>
        <v>111.68400000000001</v>
      </c>
      <c r="E34" s="69">
        <f>'Planilha base'!$F$15/176</f>
        <v>59.706590909090913</v>
      </c>
      <c r="F34" s="482">
        <f>D34*E34</f>
        <v>6668.2708990909105</v>
      </c>
      <c r="H34" s="276">
        <v>48</v>
      </c>
    </row>
    <row r="35" spans="1:8" ht="19.899999999999999" customHeight="1" x14ac:dyDescent="0.2">
      <c r="A35" s="291" t="s">
        <v>132</v>
      </c>
      <c r="B35" s="66" t="s">
        <v>10</v>
      </c>
      <c r="C35" s="72" t="s">
        <v>397</v>
      </c>
      <c r="D35" s="481">
        <f>(H35*$F$1)/$K$2</f>
        <v>111.68400000000001</v>
      </c>
      <c r="E35" s="69">
        <f>'Planilha base'!$F$22/176</f>
        <v>16.018863636363637</v>
      </c>
      <c r="F35" s="482">
        <f>D35*E35</f>
        <v>1789.0507663636365</v>
      </c>
      <c r="H35" s="276">
        <v>48</v>
      </c>
    </row>
    <row r="36" spans="1:8" ht="19.899999999999999" customHeight="1" x14ac:dyDescent="0.2">
      <c r="A36" s="291" t="s">
        <v>137</v>
      </c>
      <c r="B36" s="66" t="s">
        <v>399</v>
      </c>
      <c r="C36" s="72" t="s">
        <v>397</v>
      </c>
      <c r="D36" s="481">
        <f>(H36*$F$1)/$K$2</f>
        <v>111.68400000000001</v>
      </c>
      <c r="E36" s="63">
        <f>'Planilha base'!$F$27/176</f>
        <v>10.755852272727273</v>
      </c>
      <c r="F36" s="482">
        <f>D36*E36</f>
        <v>1201.2566052272728</v>
      </c>
      <c r="H36" s="276">
        <v>48</v>
      </c>
    </row>
    <row r="37" spans="1:8" ht="19.899999999999999" customHeight="1" x14ac:dyDescent="0.2">
      <c r="A37" s="291"/>
      <c r="B37" s="66"/>
      <c r="C37" s="72"/>
      <c r="D37" s="44"/>
      <c r="E37" s="69"/>
      <c r="F37" s="482"/>
    </row>
    <row r="38" spans="1:8" ht="19.899999999999999" customHeight="1" x14ac:dyDescent="0.2">
      <c r="A38" s="287">
        <v>2</v>
      </c>
      <c r="B38" s="45" t="s">
        <v>400</v>
      </c>
      <c r="C38" s="483"/>
      <c r="D38" s="59"/>
      <c r="E38" s="58"/>
      <c r="F38" s="484">
        <f>SUM(F39:F41)</f>
        <v>11014.642659885547</v>
      </c>
    </row>
    <row r="39" spans="1:8" ht="19.899999999999999" customHeight="1" x14ac:dyDescent="0.2">
      <c r="A39" s="47" t="s">
        <v>401</v>
      </c>
      <c r="B39" s="66" t="s">
        <v>148</v>
      </c>
      <c r="C39" s="69" t="s">
        <v>146</v>
      </c>
      <c r="D39" s="44">
        <f>F33</f>
        <v>9658.578270681819</v>
      </c>
      <c r="E39" s="301">
        <v>0.84040000000000004</v>
      </c>
      <c r="F39" s="482">
        <f>D39*E39</f>
        <v>8117.0691786810012</v>
      </c>
    </row>
    <row r="40" spans="1:8" ht="19.899999999999999" customHeight="1" x14ac:dyDescent="0.2">
      <c r="A40" s="47" t="s">
        <v>403</v>
      </c>
      <c r="B40" s="66" t="s">
        <v>151</v>
      </c>
      <c r="C40" s="69" t="s">
        <v>146</v>
      </c>
      <c r="D40" s="44">
        <f>F33</f>
        <v>9658.578270681819</v>
      </c>
      <c r="E40" s="301">
        <v>0.3</v>
      </c>
      <c r="F40" s="482">
        <f>D40*E40</f>
        <v>2897.5734812045457</v>
      </c>
    </row>
    <row r="41" spans="1:8" ht="19.899999999999999" customHeight="1" x14ac:dyDescent="0.2">
      <c r="A41" s="291"/>
      <c r="B41" s="66"/>
      <c r="C41" s="72"/>
      <c r="D41" s="44"/>
      <c r="E41" s="69"/>
      <c r="F41" s="482"/>
    </row>
    <row r="42" spans="1:8" ht="19.899999999999999" customHeight="1" x14ac:dyDescent="0.2">
      <c r="A42" s="287">
        <v>3</v>
      </c>
      <c r="B42" s="45" t="s">
        <v>404</v>
      </c>
      <c r="C42" s="483"/>
      <c r="D42" s="59"/>
      <c r="E42" s="58"/>
      <c r="F42" s="484">
        <f>SUM(F43:F44)</f>
        <v>69975.61020000001</v>
      </c>
    </row>
    <row r="43" spans="1:8" ht="19.899999999999999" customHeight="1" x14ac:dyDescent="0.2">
      <c r="A43" s="291" t="s">
        <v>417</v>
      </c>
      <c r="B43" s="66" t="s">
        <v>472</v>
      </c>
      <c r="C43" s="72" t="s">
        <v>418</v>
      </c>
      <c r="D43" s="44">
        <f>0.45*$F$1</f>
        <v>418.81500000000005</v>
      </c>
      <c r="E43" s="485">
        <f>'Cotações FWD,IRI,LVC e Mancha'!AV32</f>
        <v>167.08</v>
      </c>
      <c r="F43" s="482">
        <f>D43*E43</f>
        <v>69975.61020000001</v>
      </c>
    </row>
    <row r="44" spans="1:8" ht="19.899999999999999" customHeight="1" x14ac:dyDescent="0.2">
      <c r="A44" s="291"/>
      <c r="B44" s="66"/>
      <c r="C44" s="72"/>
      <c r="D44" s="44"/>
      <c r="E44" s="69"/>
      <c r="F44" s="482"/>
    </row>
    <row r="45" spans="1:8" ht="19.899999999999999" customHeight="1" x14ac:dyDescent="0.2">
      <c r="A45" s="287">
        <v>4</v>
      </c>
      <c r="B45" s="45" t="s">
        <v>411</v>
      </c>
      <c r="C45" s="483"/>
      <c r="D45" s="59"/>
      <c r="E45" s="58"/>
      <c r="F45" s="484">
        <f>SUM(F46:F47)</f>
        <v>27751.595757636416</v>
      </c>
    </row>
    <row r="46" spans="1:8" s="303" customFormat="1" ht="19.899999999999999" customHeight="1" x14ac:dyDescent="0.2">
      <c r="A46" s="47" t="s">
        <v>412</v>
      </c>
      <c r="B46" s="66" t="s">
        <v>186</v>
      </c>
      <c r="C46" s="69" t="s">
        <v>146</v>
      </c>
      <c r="D46" s="44">
        <f>F33+F38+F42</f>
        <v>90648.831130567385</v>
      </c>
      <c r="E46" s="301">
        <v>0.12</v>
      </c>
      <c r="F46" s="482">
        <f>D46*E46</f>
        <v>10877.859735668086</v>
      </c>
    </row>
    <row r="47" spans="1:8" s="303" customFormat="1" ht="19.899999999999999" customHeight="1" x14ac:dyDescent="0.2">
      <c r="A47" s="47" t="s">
        <v>413</v>
      </c>
      <c r="B47" s="55" t="s">
        <v>188</v>
      </c>
      <c r="C47" s="69" t="s">
        <v>146</v>
      </c>
      <c r="D47" s="297">
        <f>D46+F46</f>
        <v>101526.69086623547</v>
      </c>
      <c r="E47" s="301">
        <v>0.16619999999999999</v>
      </c>
      <c r="F47" s="50">
        <f>D47*E47</f>
        <v>16873.736021968332</v>
      </c>
    </row>
    <row r="48" spans="1:8" s="303" customFormat="1" ht="19.899999999999999" customHeight="1" x14ac:dyDescent="0.2">
      <c r="A48" s="47"/>
      <c r="B48" s="55"/>
      <c r="C48" s="69"/>
      <c r="D48" s="297"/>
      <c r="E48" s="301"/>
      <c r="F48" s="54">
        <f>F45+F42+F38+F33</f>
        <v>118400.42688820379</v>
      </c>
    </row>
    <row r="49" spans="1:8" s="303" customFormat="1" ht="19.899999999999999" customHeight="1" x14ac:dyDescent="0.2">
      <c r="A49" s="47"/>
      <c r="B49" s="55"/>
      <c r="C49" s="69"/>
      <c r="D49" s="297"/>
      <c r="E49" s="301"/>
      <c r="F49" s="50"/>
    </row>
    <row r="50" spans="1:8" s="303" customFormat="1" ht="19.899999999999999" customHeight="1" x14ac:dyDescent="0.2">
      <c r="A50" s="304" t="s">
        <v>414</v>
      </c>
      <c r="B50" s="305" t="s">
        <v>108</v>
      </c>
      <c r="C50" s="306" t="s">
        <v>397</v>
      </c>
      <c r="D50" s="307">
        <f>SUM(D34:D36)</f>
        <v>335.05200000000002</v>
      </c>
      <c r="E50" s="321">
        <f>'Custo Gerencial LOTE 04'!$G$81</f>
        <v>82.06</v>
      </c>
      <c r="F50" s="309">
        <f>D50*E50</f>
        <v>27494.367120000003</v>
      </c>
    </row>
    <row r="51" spans="1:8" s="303" customFormat="1" ht="19.899999999999999" customHeight="1" x14ac:dyDescent="0.2">
      <c r="A51" s="47"/>
      <c r="B51" s="55"/>
      <c r="C51" s="69"/>
      <c r="D51" s="297"/>
      <c r="E51" s="301"/>
      <c r="F51" s="50"/>
    </row>
    <row r="52" spans="1:8" s="303" customFormat="1" ht="19.899999999999999" customHeight="1" thickBot="1" x14ac:dyDescent="0.25">
      <c r="A52" s="310"/>
      <c r="B52" s="311" t="s">
        <v>415</v>
      </c>
      <c r="C52" s="312" t="s">
        <v>155</v>
      </c>
      <c r="D52" s="313">
        <v>1</v>
      </c>
      <c r="E52" s="314">
        <f>F32</f>
        <v>145894.79400820378</v>
      </c>
      <c r="F52" s="315">
        <f>E52*D52</f>
        <v>145894.79400820378</v>
      </c>
    </row>
    <row r="53" spans="1:8" ht="19.899999999999999" customHeight="1" thickBot="1" x14ac:dyDescent="0.25">
      <c r="A53" s="317"/>
      <c r="B53" s="317"/>
      <c r="C53" s="317"/>
      <c r="D53" s="317"/>
      <c r="E53" s="317"/>
      <c r="F53" s="317"/>
    </row>
    <row r="54" spans="1:8" ht="19.899999999999999" customHeight="1" x14ac:dyDescent="0.2">
      <c r="A54" s="281" t="s">
        <v>419</v>
      </c>
      <c r="B54" s="647" t="s">
        <v>421</v>
      </c>
      <c r="C54" s="647"/>
      <c r="D54" s="647"/>
      <c r="E54" s="647"/>
      <c r="F54" s="648"/>
    </row>
    <row r="55" spans="1:8" ht="19.899999999999999" customHeight="1" x14ac:dyDescent="0.2">
      <c r="A55" s="282" t="s">
        <v>101</v>
      </c>
      <c r="B55" s="283" t="s">
        <v>103</v>
      </c>
      <c r="C55" s="283" t="s">
        <v>104</v>
      </c>
      <c r="D55" s="283" t="s">
        <v>105</v>
      </c>
      <c r="E55" s="283" t="s">
        <v>386</v>
      </c>
      <c r="F55" s="284" t="s">
        <v>387</v>
      </c>
    </row>
    <row r="56" spans="1:8" ht="19.899999999999999" customHeight="1" x14ac:dyDescent="0.2">
      <c r="A56" s="287"/>
      <c r="B56" s="52" t="str">
        <f>B54</f>
        <v>Relatório de Apoio na Análise da Monitoração da Sinalização Vertical</v>
      </c>
      <c r="C56" s="53"/>
      <c r="D56" s="288"/>
      <c r="E56" s="58"/>
      <c r="F56" s="54">
        <f>F72+F74</f>
        <v>102497.13747342779</v>
      </c>
    </row>
    <row r="57" spans="1:8" ht="19.899999999999999" customHeight="1" x14ac:dyDescent="0.2">
      <c r="A57" s="287">
        <v>1</v>
      </c>
      <c r="B57" s="52" t="s">
        <v>395</v>
      </c>
      <c r="C57" s="53"/>
      <c r="D57" s="288"/>
      <c r="E57" s="58"/>
      <c r="F57" s="54">
        <f>SUM(F58:F61)</f>
        <v>7366.6781352012795</v>
      </c>
    </row>
    <row r="58" spans="1:8" ht="19.899999999999999" customHeight="1" x14ac:dyDescent="0.2">
      <c r="A58" s="291" t="s">
        <v>121</v>
      </c>
      <c r="B58" s="66" t="s">
        <v>416</v>
      </c>
      <c r="C58" s="72" t="s">
        <v>397</v>
      </c>
      <c r="D58" s="481">
        <f>(H58*$F$1)/$K$2</f>
        <v>85.182317500000011</v>
      </c>
      <c r="E58" s="69">
        <f>'Planilha base'!$F$15/176</f>
        <v>59.706590909090913</v>
      </c>
      <c r="F58" s="50">
        <f>D58*E58</f>
        <v>5085.9457836607962</v>
      </c>
      <c r="H58" s="322">
        <v>36.61</v>
      </c>
    </row>
    <row r="59" spans="1:8" ht="19.899999999999999" customHeight="1" x14ac:dyDescent="0.2">
      <c r="A59" s="291" t="s">
        <v>132</v>
      </c>
      <c r="B59" s="66" t="s">
        <v>10</v>
      </c>
      <c r="C59" s="72" t="s">
        <v>397</v>
      </c>
      <c r="D59" s="481">
        <f>(H59*$F$1)/$K$2</f>
        <v>85.182317500000011</v>
      </c>
      <c r="E59" s="69">
        <f>'Planilha base'!$F$22/176</f>
        <v>16.018863636363637</v>
      </c>
      <c r="F59" s="50">
        <f>D59*E59</f>
        <v>1364.523928261932</v>
      </c>
      <c r="H59" s="322">
        <v>36.61</v>
      </c>
    </row>
    <row r="60" spans="1:8" ht="19.899999999999999" customHeight="1" x14ac:dyDescent="0.2">
      <c r="A60" s="291" t="s">
        <v>137</v>
      </c>
      <c r="B60" s="66" t="s">
        <v>399</v>
      </c>
      <c r="C60" s="72" t="s">
        <v>397</v>
      </c>
      <c r="D60" s="481">
        <f>(H60*$F$1)/$K$2</f>
        <v>85.182317500000011</v>
      </c>
      <c r="E60" s="63">
        <f>'Planilha base'!$F$27/176</f>
        <v>10.755852272727273</v>
      </c>
      <c r="F60" s="50">
        <f>D60*E60</f>
        <v>916.20842327855121</v>
      </c>
      <c r="H60" s="322">
        <v>36.61</v>
      </c>
    </row>
    <row r="61" spans="1:8" ht="19.899999999999999" customHeight="1" x14ac:dyDescent="0.2">
      <c r="A61" s="291"/>
      <c r="B61" s="66"/>
      <c r="C61" s="72"/>
      <c r="D61" s="44"/>
      <c r="E61" s="69"/>
      <c r="F61" s="50"/>
    </row>
    <row r="62" spans="1:8" ht="19.899999999999999" customHeight="1" x14ac:dyDescent="0.2">
      <c r="A62" s="287">
        <v>2</v>
      </c>
      <c r="B62" s="45" t="s">
        <v>400</v>
      </c>
      <c r="C62" s="483"/>
      <c r="D62" s="59"/>
      <c r="E62" s="58"/>
      <c r="F62" s="54">
        <f>SUM(F63:F65)</f>
        <v>8400.9597453835395</v>
      </c>
    </row>
    <row r="63" spans="1:8" ht="19.899999999999999" customHeight="1" x14ac:dyDescent="0.2">
      <c r="A63" s="47" t="s">
        <v>401</v>
      </c>
      <c r="B63" s="66" t="s">
        <v>148</v>
      </c>
      <c r="C63" s="69" t="s">
        <v>146</v>
      </c>
      <c r="D63" s="44">
        <f>F57</f>
        <v>7366.6781352012795</v>
      </c>
      <c r="E63" s="301">
        <v>0.84040000000000004</v>
      </c>
      <c r="F63" s="50">
        <f>D63*E63</f>
        <v>6190.9563048231557</v>
      </c>
    </row>
    <row r="64" spans="1:8" ht="19.899999999999999" customHeight="1" x14ac:dyDescent="0.2">
      <c r="A64" s="47" t="s">
        <v>403</v>
      </c>
      <c r="B64" s="66" t="s">
        <v>151</v>
      </c>
      <c r="C64" s="69" t="s">
        <v>146</v>
      </c>
      <c r="D64" s="44">
        <f>F57</f>
        <v>7366.6781352012795</v>
      </c>
      <c r="E64" s="301">
        <v>0.3</v>
      </c>
      <c r="F64" s="50">
        <f>D64*E64</f>
        <v>2210.0034405603838</v>
      </c>
    </row>
    <row r="65" spans="1:6" ht="19.899999999999999" customHeight="1" x14ac:dyDescent="0.2">
      <c r="A65" s="291"/>
      <c r="B65" s="66"/>
      <c r="C65" s="72"/>
      <c r="D65" s="44"/>
      <c r="E65" s="69"/>
      <c r="F65" s="50"/>
    </row>
    <row r="66" spans="1:6" ht="19.899999999999999" customHeight="1" x14ac:dyDescent="0.2">
      <c r="A66" s="287">
        <v>3</v>
      </c>
      <c r="B66" s="45" t="s">
        <v>404</v>
      </c>
      <c r="C66" s="483"/>
      <c r="D66" s="59"/>
      <c r="E66" s="58"/>
      <c r="F66" s="54">
        <f>SUM(F67)</f>
        <v>46650.406799999997</v>
      </c>
    </row>
    <row r="67" spans="1:6" ht="19.899999999999999" customHeight="1" x14ac:dyDescent="0.2">
      <c r="A67" s="291" t="s">
        <v>417</v>
      </c>
      <c r="B67" s="66" t="s">
        <v>470</v>
      </c>
      <c r="C67" s="72" t="s">
        <v>418</v>
      </c>
      <c r="D67" s="44">
        <f>0.3*$F$1</f>
        <v>279.20999999999998</v>
      </c>
      <c r="E67" s="485">
        <f>'Cotações FWD,IRI,LVC e Mancha'!AV33</f>
        <v>167.08</v>
      </c>
      <c r="F67" s="50">
        <f>D67*E67</f>
        <v>46650.406799999997</v>
      </c>
    </row>
    <row r="68" spans="1:6" ht="19.899999999999999" customHeight="1" x14ac:dyDescent="0.2">
      <c r="A68" s="291"/>
      <c r="B68" s="66"/>
      <c r="C68" s="72"/>
      <c r="D68" s="44"/>
      <c r="E68" s="69"/>
      <c r="F68" s="50"/>
    </row>
    <row r="69" spans="1:6" ht="19.899999999999999" customHeight="1" x14ac:dyDescent="0.2">
      <c r="A69" s="287">
        <v>4</v>
      </c>
      <c r="B69" s="45" t="s">
        <v>411</v>
      </c>
      <c r="C69" s="483"/>
      <c r="D69" s="59"/>
      <c r="E69" s="58"/>
      <c r="F69" s="54">
        <f>SUM(F70:F71)</f>
        <v>19108.909870692958</v>
      </c>
    </row>
    <row r="70" spans="1:6" s="303" customFormat="1" ht="19.899999999999999" customHeight="1" x14ac:dyDescent="0.2">
      <c r="A70" s="47" t="s">
        <v>412</v>
      </c>
      <c r="B70" s="66" t="s">
        <v>186</v>
      </c>
      <c r="C70" s="69" t="s">
        <v>146</v>
      </c>
      <c r="D70" s="44">
        <f>F57+F62+F66</f>
        <v>62418.044680584819</v>
      </c>
      <c r="E70" s="301">
        <v>0.12</v>
      </c>
      <c r="F70" s="50">
        <f>D70*E70</f>
        <v>7490.1653616701778</v>
      </c>
    </row>
    <row r="71" spans="1:6" s="303" customFormat="1" ht="19.899999999999999" customHeight="1" x14ac:dyDescent="0.2">
      <c r="A71" s="47" t="s">
        <v>413</v>
      </c>
      <c r="B71" s="55" t="s">
        <v>188</v>
      </c>
      <c r="C71" s="69" t="s">
        <v>146</v>
      </c>
      <c r="D71" s="297">
        <f>D70+F70</f>
        <v>69908.210042254999</v>
      </c>
      <c r="E71" s="301">
        <v>0.16619999999999999</v>
      </c>
      <c r="F71" s="50">
        <f>D71*E71</f>
        <v>11618.744509022779</v>
      </c>
    </row>
    <row r="72" spans="1:6" s="303" customFormat="1" ht="19.899999999999999" customHeight="1" x14ac:dyDescent="0.2">
      <c r="A72" s="47"/>
      <c r="B72" s="55"/>
      <c r="C72" s="69"/>
      <c r="D72" s="297"/>
      <c r="E72" s="301"/>
      <c r="F72" s="54">
        <f>F69+F66+F62+F57</f>
        <v>81526.954551277784</v>
      </c>
    </row>
    <row r="73" spans="1:6" s="303" customFormat="1" ht="19.899999999999999" customHeight="1" x14ac:dyDescent="0.2">
      <c r="A73" s="47"/>
      <c r="B73" s="55"/>
      <c r="C73" s="69"/>
      <c r="D73" s="297"/>
      <c r="E73" s="301"/>
      <c r="F73" s="50"/>
    </row>
    <row r="74" spans="1:6" s="303" customFormat="1" ht="19.899999999999999" customHeight="1" x14ac:dyDescent="0.2">
      <c r="A74" s="304" t="s">
        <v>414</v>
      </c>
      <c r="B74" s="305" t="s">
        <v>108</v>
      </c>
      <c r="C74" s="306" t="s">
        <v>397</v>
      </c>
      <c r="D74" s="307">
        <f>SUM(D58:D60)</f>
        <v>255.54695250000003</v>
      </c>
      <c r="E74" s="321">
        <f>'Custo Gerencial LOTE 04'!$G$81</f>
        <v>82.06</v>
      </c>
      <c r="F74" s="309">
        <f>D74*E74</f>
        <v>20970.182922150005</v>
      </c>
    </row>
    <row r="75" spans="1:6" s="303" customFormat="1" ht="19.899999999999999" customHeight="1" x14ac:dyDescent="0.2">
      <c r="A75" s="47"/>
      <c r="B75" s="55"/>
      <c r="C75" s="69"/>
      <c r="D75" s="297"/>
      <c r="E75" s="301"/>
      <c r="F75" s="50"/>
    </row>
    <row r="76" spans="1:6" s="303" customFormat="1" ht="19.899999999999999" customHeight="1" thickBot="1" x14ac:dyDescent="0.25">
      <c r="A76" s="310"/>
      <c r="B76" s="311" t="s">
        <v>415</v>
      </c>
      <c r="C76" s="312" t="s">
        <v>155</v>
      </c>
      <c r="D76" s="313">
        <v>1</v>
      </c>
      <c r="E76" s="314">
        <f>F56</f>
        <v>102497.13747342779</v>
      </c>
      <c r="F76" s="315">
        <f>E76*D76</f>
        <v>102497.13747342779</v>
      </c>
    </row>
    <row r="77" spans="1:6" ht="19.899999999999999" customHeight="1" thickBot="1" x14ac:dyDescent="0.25">
      <c r="A77" s="317"/>
      <c r="B77" s="317"/>
      <c r="C77" s="317"/>
      <c r="D77" s="317"/>
      <c r="E77" s="317"/>
      <c r="F77" s="317"/>
    </row>
    <row r="78" spans="1:6" ht="19.5" customHeight="1" x14ac:dyDescent="0.2">
      <c r="A78" s="281" t="s">
        <v>255</v>
      </c>
      <c r="B78" s="647" t="s">
        <v>422</v>
      </c>
      <c r="C78" s="647"/>
      <c r="D78" s="647"/>
      <c r="E78" s="647"/>
      <c r="F78" s="648"/>
    </row>
    <row r="79" spans="1:6" ht="19.899999999999999" customHeight="1" x14ac:dyDescent="0.2">
      <c r="A79" s="282" t="s">
        <v>101</v>
      </c>
      <c r="B79" s="283" t="s">
        <v>103</v>
      </c>
      <c r="C79" s="283" t="s">
        <v>104</v>
      </c>
      <c r="D79" s="283" t="s">
        <v>105</v>
      </c>
      <c r="E79" s="283" t="s">
        <v>386</v>
      </c>
      <c r="F79" s="284" t="s">
        <v>387</v>
      </c>
    </row>
    <row r="80" spans="1:6" ht="19.899999999999999" customHeight="1" x14ac:dyDescent="0.2">
      <c r="A80" s="287"/>
      <c r="B80" s="52" t="str">
        <f>B78</f>
        <v>Relatório de Apoio na Análise da Monitoração das Obras de Arte Especial</v>
      </c>
      <c r="C80" s="53"/>
      <c r="D80" s="288"/>
      <c r="E80" s="58"/>
      <c r="F80" s="323">
        <f>F95+F93</f>
        <v>72624.341718125492</v>
      </c>
    </row>
    <row r="81" spans="1:8" ht="19.899999999999999" customHeight="1" x14ac:dyDescent="0.2">
      <c r="A81" s="287">
        <v>1</v>
      </c>
      <c r="B81" s="52" t="s">
        <v>395</v>
      </c>
      <c r="C81" s="53"/>
      <c r="D81" s="288"/>
      <c r="E81" s="58"/>
      <c r="F81" s="54">
        <f>SUM(F82:F84)</f>
        <v>16874.258310577985</v>
      </c>
    </row>
    <row r="82" spans="1:8" ht="19.899999999999999" customHeight="1" x14ac:dyDescent="0.2">
      <c r="A82" s="291" t="s">
        <v>119</v>
      </c>
      <c r="B82" s="55" t="s">
        <v>423</v>
      </c>
      <c r="C82" s="53" t="s">
        <v>397</v>
      </c>
      <c r="D82" s="480">
        <f>(H82*$F$1)/$K$2</f>
        <v>138.41835750000001</v>
      </c>
      <c r="E82" s="63">
        <f>'Planilha base'!$F$14/176</f>
        <v>76.31948863636363</v>
      </c>
      <c r="F82" s="50">
        <f>D82*E82</f>
        <v>10564.01826228537</v>
      </c>
      <c r="H82" s="322">
        <v>59.49</v>
      </c>
    </row>
    <row r="83" spans="1:8" ht="19.899999999999999" customHeight="1" x14ac:dyDescent="0.2">
      <c r="A83" s="291" t="s">
        <v>123</v>
      </c>
      <c r="B83" s="55" t="s">
        <v>398</v>
      </c>
      <c r="C83" s="53" t="s">
        <v>397</v>
      </c>
      <c r="D83" s="480">
        <f>(H83*$F$1)/$K$2</f>
        <v>116.33750000000001</v>
      </c>
      <c r="E83" s="63">
        <f>'Planilha base'!$F$16/176</f>
        <v>49.121022727272724</v>
      </c>
      <c r="F83" s="50">
        <f>D83*E83</f>
        <v>5714.6169815340909</v>
      </c>
      <c r="H83" s="322">
        <v>50</v>
      </c>
    </row>
    <row r="84" spans="1:8" ht="19.899999999999999" customHeight="1" x14ac:dyDescent="0.2">
      <c r="A84" s="291" t="s">
        <v>137</v>
      </c>
      <c r="B84" s="55" t="s">
        <v>399</v>
      </c>
      <c r="C84" s="53" t="s">
        <v>397</v>
      </c>
      <c r="D84" s="480">
        <f>(H84*$F$1)/$K$2</f>
        <v>55.376650000000012</v>
      </c>
      <c r="E84" s="63">
        <f>'Planilha base'!$F$27/176</f>
        <v>10.755852272727273</v>
      </c>
      <c r="F84" s="50">
        <f>D84*E84</f>
        <v>595.6230667585229</v>
      </c>
      <c r="H84" s="322">
        <v>23.8</v>
      </c>
    </row>
    <row r="85" spans="1:8" ht="19.899999999999999" customHeight="1" x14ac:dyDescent="0.2">
      <c r="A85" s="291"/>
      <c r="B85" s="55"/>
      <c r="C85" s="53"/>
      <c r="D85" s="297"/>
      <c r="E85" s="69"/>
      <c r="F85" s="50"/>
    </row>
    <row r="86" spans="1:8" ht="19.899999999999999" customHeight="1" x14ac:dyDescent="0.2">
      <c r="A86" s="287">
        <v>2</v>
      </c>
      <c r="B86" s="52" t="s">
        <v>400</v>
      </c>
      <c r="C86" s="299"/>
      <c r="D86" s="288"/>
      <c r="E86" s="58"/>
      <c r="F86" s="54">
        <f>SUM(F87:F89)</f>
        <v>19243.404177383134</v>
      </c>
    </row>
    <row r="87" spans="1:8" s="303" customFormat="1" ht="19.899999999999999" customHeight="1" x14ac:dyDescent="0.2">
      <c r="A87" s="47" t="s">
        <v>401</v>
      </c>
      <c r="B87" s="55" t="s">
        <v>148</v>
      </c>
      <c r="C87" s="69" t="s">
        <v>146</v>
      </c>
      <c r="D87" s="297">
        <f>F81</f>
        <v>16874.258310577985</v>
      </c>
      <c r="E87" s="301">
        <v>0.84040000000000004</v>
      </c>
      <c r="F87" s="50">
        <f>D87*E87</f>
        <v>14181.126684209739</v>
      </c>
    </row>
    <row r="88" spans="1:8" s="303" customFormat="1" ht="19.899999999999999" customHeight="1" x14ac:dyDescent="0.2">
      <c r="A88" s="47" t="s">
        <v>403</v>
      </c>
      <c r="B88" s="55" t="s">
        <v>151</v>
      </c>
      <c r="C88" s="69" t="s">
        <v>146</v>
      </c>
      <c r="D88" s="297">
        <f>F81</f>
        <v>16874.258310577985</v>
      </c>
      <c r="E88" s="301">
        <v>0.3</v>
      </c>
      <c r="F88" s="50">
        <f>D88*E88</f>
        <v>5062.2774931733957</v>
      </c>
    </row>
    <row r="89" spans="1:8" s="303" customFormat="1" ht="19.899999999999999" customHeight="1" x14ac:dyDescent="0.2">
      <c r="A89" s="47"/>
      <c r="B89" s="55"/>
      <c r="C89" s="69"/>
      <c r="D89" s="297"/>
      <c r="E89" s="301"/>
      <c r="F89" s="50"/>
    </row>
    <row r="90" spans="1:8" ht="19.899999999999999" customHeight="1" x14ac:dyDescent="0.2">
      <c r="A90" s="287">
        <v>3</v>
      </c>
      <c r="B90" s="52" t="s">
        <v>411</v>
      </c>
      <c r="C90" s="299"/>
      <c r="D90" s="288"/>
      <c r="E90" s="58"/>
      <c r="F90" s="54">
        <f>SUM(F91:F92)</f>
        <v>11057.205664714367</v>
      </c>
    </row>
    <row r="91" spans="1:8" s="303" customFormat="1" ht="19.899999999999999" customHeight="1" x14ac:dyDescent="0.2">
      <c r="A91" s="47" t="s">
        <v>412</v>
      </c>
      <c r="B91" s="55" t="s">
        <v>186</v>
      </c>
      <c r="C91" s="69" t="s">
        <v>146</v>
      </c>
      <c r="D91" s="297">
        <f>F81+F86</f>
        <v>36117.662487961119</v>
      </c>
      <c r="E91" s="301">
        <v>0.12</v>
      </c>
      <c r="F91" s="50">
        <f>D91*E91</f>
        <v>4334.1194985553338</v>
      </c>
    </row>
    <row r="92" spans="1:8" s="303" customFormat="1" ht="19.899999999999999" customHeight="1" x14ac:dyDescent="0.2">
      <c r="A92" s="47" t="s">
        <v>413</v>
      </c>
      <c r="B92" s="55" t="s">
        <v>188</v>
      </c>
      <c r="C92" s="69" t="s">
        <v>146</v>
      </c>
      <c r="D92" s="297">
        <f>D91+F91</f>
        <v>40451.781986516449</v>
      </c>
      <c r="E92" s="301">
        <v>0.16619999999999999</v>
      </c>
      <c r="F92" s="50">
        <f>D92*E92</f>
        <v>6723.0861661590334</v>
      </c>
    </row>
    <row r="93" spans="1:8" s="303" customFormat="1" ht="19.899999999999999" customHeight="1" x14ac:dyDescent="0.2">
      <c r="A93" s="47"/>
      <c r="B93" s="55"/>
      <c r="C93" s="69"/>
      <c r="D93" s="297"/>
      <c r="E93" s="301"/>
      <c r="F93" s="54">
        <f>F90+F86+F81</f>
        <v>47174.868152675488</v>
      </c>
    </row>
    <row r="94" spans="1:8" s="303" customFormat="1" ht="19.899999999999999" customHeight="1" x14ac:dyDescent="0.2">
      <c r="A94" s="47"/>
      <c r="B94" s="55"/>
      <c r="C94" s="69"/>
      <c r="D94" s="297"/>
      <c r="E94" s="301"/>
      <c r="F94" s="50"/>
    </row>
    <row r="95" spans="1:8" s="303" customFormat="1" ht="19.899999999999999" customHeight="1" x14ac:dyDescent="0.2">
      <c r="A95" s="304" t="s">
        <v>414</v>
      </c>
      <c r="B95" s="305" t="s">
        <v>108</v>
      </c>
      <c r="C95" s="306" t="s">
        <v>397</v>
      </c>
      <c r="D95" s="307">
        <f>SUM(D82:D84)</f>
        <v>310.13250750000003</v>
      </c>
      <c r="E95" s="321">
        <f>'Custo Gerencial LOTE 04'!$G$81</f>
        <v>82.06</v>
      </c>
      <c r="F95" s="309">
        <f>D95*E95</f>
        <v>25449.473565450004</v>
      </c>
    </row>
    <row r="96" spans="1:8" s="303" customFormat="1" ht="19.899999999999999" customHeight="1" x14ac:dyDescent="0.2">
      <c r="A96" s="47"/>
      <c r="B96" s="55"/>
      <c r="C96" s="69"/>
      <c r="D96" s="297"/>
      <c r="E96" s="301"/>
      <c r="F96" s="50"/>
    </row>
    <row r="97" spans="1:8" s="303" customFormat="1" ht="19.899999999999999" customHeight="1" thickBot="1" x14ac:dyDescent="0.25">
      <c r="A97" s="310"/>
      <c r="B97" s="311" t="s">
        <v>415</v>
      </c>
      <c r="C97" s="312" t="s">
        <v>155</v>
      </c>
      <c r="D97" s="313">
        <v>1</v>
      </c>
      <c r="E97" s="314">
        <f>F80</f>
        <v>72624.341718125492</v>
      </c>
      <c r="F97" s="315">
        <f>E97*D97</f>
        <v>72624.341718125492</v>
      </c>
    </row>
    <row r="98" spans="1:8" ht="19.899999999999999" customHeight="1" thickBot="1" x14ac:dyDescent="0.25">
      <c r="A98" s="317"/>
      <c r="B98" s="317"/>
      <c r="C98" s="317"/>
      <c r="D98" s="317"/>
      <c r="E98" s="317"/>
      <c r="F98" s="317"/>
    </row>
    <row r="99" spans="1:8" ht="19.899999999999999" customHeight="1" x14ac:dyDescent="0.2">
      <c r="A99" s="281" t="s">
        <v>258</v>
      </c>
      <c r="B99" s="647" t="s">
        <v>424</v>
      </c>
      <c r="C99" s="647"/>
      <c r="D99" s="647"/>
      <c r="E99" s="647"/>
      <c r="F99" s="648"/>
    </row>
    <row r="100" spans="1:8" ht="19.899999999999999" customHeight="1" x14ac:dyDescent="0.2">
      <c r="A100" s="282" t="s">
        <v>101</v>
      </c>
      <c r="B100" s="283" t="s">
        <v>103</v>
      </c>
      <c r="C100" s="283" t="s">
        <v>104</v>
      </c>
      <c r="D100" s="283" t="s">
        <v>105</v>
      </c>
      <c r="E100" s="283" t="s">
        <v>386</v>
      </c>
      <c r="F100" s="284" t="s">
        <v>387</v>
      </c>
    </row>
    <row r="101" spans="1:8" ht="19.899999999999999" customHeight="1" x14ac:dyDescent="0.2">
      <c r="A101" s="287"/>
      <c r="B101" s="52" t="str">
        <f>B99</f>
        <v>Relatório de Apoio na Análise da Monitoração dos Terraplenos e Estruturas de Contenção</v>
      </c>
      <c r="C101" s="53"/>
      <c r="D101" s="288"/>
      <c r="E101" s="58"/>
      <c r="F101" s="54">
        <f>F114+F116</f>
        <v>64658.963960087356</v>
      </c>
    </row>
    <row r="102" spans="1:8" ht="19.899999999999999" customHeight="1" x14ac:dyDescent="0.2">
      <c r="A102" s="287">
        <v>1</v>
      </c>
      <c r="B102" s="52" t="s">
        <v>395</v>
      </c>
      <c r="C102" s="53"/>
      <c r="D102" s="288"/>
      <c r="E102" s="58"/>
      <c r="F102" s="54">
        <f>SUM(F103:F105)</f>
        <v>13376.946122605825</v>
      </c>
    </row>
    <row r="103" spans="1:8" ht="19.899999999999999" customHeight="1" x14ac:dyDescent="0.2">
      <c r="A103" s="291" t="s">
        <v>119</v>
      </c>
      <c r="B103" s="55" t="s">
        <v>425</v>
      </c>
      <c r="C103" s="53" t="s">
        <v>397</v>
      </c>
      <c r="D103" s="480">
        <f>(H103*$F$1)/$K$2</f>
        <v>138.41835750000001</v>
      </c>
      <c r="E103" s="63">
        <f>'Planilha base'!$F$14/176</f>
        <v>76.31948863636363</v>
      </c>
      <c r="F103" s="50">
        <f>D103*E103</f>
        <v>10564.01826228537</v>
      </c>
      <c r="H103" s="322">
        <v>59.49</v>
      </c>
    </row>
    <row r="104" spans="1:8" ht="19.899999999999999" customHeight="1" x14ac:dyDescent="0.2">
      <c r="A104" s="291" t="s">
        <v>132</v>
      </c>
      <c r="B104" s="55" t="s">
        <v>10</v>
      </c>
      <c r="C104" s="53" t="s">
        <v>397</v>
      </c>
      <c r="D104" s="480">
        <f>(H104*$F$1)/$K$2</f>
        <v>138.41835750000001</v>
      </c>
      <c r="E104" s="69">
        <f>'Planilha base'!$F$22/176</f>
        <v>16.018863636363637</v>
      </c>
      <c r="F104" s="50">
        <f>D104*E104</f>
        <v>2217.304793561932</v>
      </c>
      <c r="H104" s="322">
        <v>59.49</v>
      </c>
    </row>
    <row r="105" spans="1:8" ht="19.899999999999999" customHeight="1" x14ac:dyDescent="0.2">
      <c r="A105" s="291" t="s">
        <v>137</v>
      </c>
      <c r="B105" s="55" t="s">
        <v>399</v>
      </c>
      <c r="C105" s="53" t="s">
        <v>397</v>
      </c>
      <c r="D105" s="480">
        <f>(H105*$F$1)/$K$2</f>
        <v>55.376650000000012</v>
      </c>
      <c r="E105" s="63">
        <f>'Planilha base'!$F$27/176</f>
        <v>10.755852272727273</v>
      </c>
      <c r="F105" s="50">
        <f>D105*E105</f>
        <v>595.6230667585229</v>
      </c>
      <c r="H105" s="322">
        <v>23.8</v>
      </c>
    </row>
    <row r="106" spans="1:8" ht="19.899999999999999" customHeight="1" x14ac:dyDescent="0.2">
      <c r="A106" s="291"/>
      <c r="B106" s="55"/>
      <c r="C106" s="53"/>
      <c r="D106" s="297"/>
      <c r="E106" s="69"/>
      <c r="F106" s="50"/>
    </row>
    <row r="107" spans="1:8" ht="19.899999999999999" customHeight="1" x14ac:dyDescent="0.2">
      <c r="A107" s="287">
        <v>2</v>
      </c>
      <c r="B107" s="52" t="s">
        <v>400</v>
      </c>
      <c r="C107" s="299"/>
      <c r="D107" s="288"/>
      <c r="E107" s="58"/>
      <c r="F107" s="54">
        <f>SUM(F108:F110)</f>
        <v>15255.069358219682</v>
      </c>
    </row>
    <row r="108" spans="1:8" s="303" customFormat="1" ht="19.899999999999999" customHeight="1" x14ac:dyDescent="0.2">
      <c r="A108" s="47" t="s">
        <v>401</v>
      </c>
      <c r="B108" s="55" t="s">
        <v>148</v>
      </c>
      <c r="C108" s="69" t="s">
        <v>146</v>
      </c>
      <c r="D108" s="297">
        <f>F102</f>
        <v>13376.946122605825</v>
      </c>
      <c r="E108" s="301">
        <v>0.84040000000000004</v>
      </c>
      <c r="F108" s="50">
        <f>D108*E108</f>
        <v>11241.985521437935</v>
      </c>
    </row>
    <row r="109" spans="1:8" s="303" customFormat="1" ht="19.899999999999999" customHeight="1" x14ac:dyDescent="0.2">
      <c r="A109" s="47" t="s">
        <v>403</v>
      </c>
      <c r="B109" s="55" t="s">
        <v>151</v>
      </c>
      <c r="C109" s="69" t="s">
        <v>146</v>
      </c>
      <c r="D109" s="297">
        <f>F102</f>
        <v>13376.946122605825</v>
      </c>
      <c r="E109" s="301">
        <v>0.3</v>
      </c>
      <c r="F109" s="50">
        <f>D109*E109</f>
        <v>4013.0838367817473</v>
      </c>
    </row>
    <row r="110" spans="1:8" s="303" customFormat="1" ht="19.899999999999999" customHeight="1" x14ac:dyDescent="0.2">
      <c r="A110" s="47"/>
      <c r="B110" s="55"/>
      <c r="C110" s="69"/>
      <c r="D110" s="297"/>
      <c r="E110" s="301"/>
      <c r="F110" s="50"/>
    </row>
    <row r="111" spans="1:8" ht="19.899999999999999" customHeight="1" x14ac:dyDescent="0.2">
      <c r="A111" s="287">
        <v>3</v>
      </c>
      <c r="B111" s="52" t="s">
        <v>411</v>
      </c>
      <c r="C111" s="299"/>
      <c r="D111" s="288"/>
      <c r="E111" s="58"/>
      <c r="F111" s="54">
        <f>SUM(F112:F113)</f>
        <v>8765.5197473618427</v>
      </c>
    </row>
    <row r="112" spans="1:8" s="303" customFormat="1" ht="19.899999999999999" customHeight="1" x14ac:dyDescent="0.2">
      <c r="A112" s="47" t="s">
        <v>412</v>
      </c>
      <c r="B112" s="55" t="s">
        <v>186</v>
      </c>
      <c r="C112" s="69" t="s">
        <v>146</v>
      </c>
      <c r="D112" s="297">
        <f>F102+F107</f>
        <v>28632.015480825507</v>
      </c>
      <c r="E112" s="301">
        <v>0.12</v>
      </c>
      <c r="F112" s="50">
        <f>D112*E112</f>
        <v>3435.8418576990607</v>
      </c>
    </row>
    <row r="113" spans="1:8" s="303" customFormat="1" ht="19.899999999999999" customHeight="1" x14ac:dyDescent="0.2">
      <c r="A113" s="47" t="s">
        <v>413</v>
      </c>
      <c r="B113" s="55" t="s">
        <v>188</v>
      </c>
      <c r="C113" s="69" t="s">
        <v>146</v>
      </c>
      <c r="D113" s="297">
        <f>D112+F112</f>
        <v>32067.857338524569</v>
      </c>
      <c r="E113" s="301">
        <v>0.16619999999999999</v>
      </c>
      <c r="F113" s="50">
        <f>D113*E113</f>
        <v>5329.6778896627829</v>
      </c>
    </row>
    <row r="114" spans="1:8" s="303" customFormat="1" ht="19.899999999999999" customHeight="1" x14ac:dyDescent="0.2">
      <c r="A114" s="47"/>
      <c r="B114" s="55"/>
      <c r="C114" s="69"/>
      <c r="D114" s="297"/>
      <c r="E114" s="301"/>
      <c r="F114" s="54">
        <f>F111+F107+F102</f>
        <v>37397.535228187349</v>
      </c>
    </row>
    <row r="115" spans="1:8" s="303" customFormat="1" ht="19.899999999999999" customHeight="1" x14ac:dyDescent="0.2">
      <c r="A115" s="47"/>
      <c r="B115" s="55"/>
      <c r="C115" s="69"/>
      <c r="D115" s="297"/>
      <c r="E115" s="301"/>
      <c r="F115" s="50"/>
    </row>
    <row r="116" spans="1:8" s="303" customFormat="1" ht="19.899999999999999" customHeight="1" x14ac:dyDescent="0.2">
      <c r="A116" s="304" t="s">
        <v>414</v>
      </c>
      <c r="B116" s="305" t="s">
        <v>108</v>
      </c>
      <c r="C116" s="306" t="s">
        <v>397</v>
      </c>
      <c r="D116" s="307">
        <f>SUM(D103:D105)</f>
        <v>332.21336500000007</v>
      </c>
      <c r="E116" s="321">
        <f>'Custo Gerencial LOTE 04'!$G$81</f>
        <v>82.06</v>
      </c>
      <c r="F116" s="309">
        <f>D116*E116</f>
        <v>27261.428731900007</v>
      </c>
    </row>
    <row r="117" spans="1:8" s="303" customFormat="1" ht="19.899999999999999" customHeight="1" x14ac:dyDescent="0.2">
      <c r="A117" s="47"/>
      <c r="B117" s="55"/>
      <c r="C117" s="69"/>
      <c r="D117" s="297"/>
      <c r="E117" s="301"/>
      <c r="F117" s="50"/>
    </row>
    <row r="118" spans="1:8" s="303" customFormat="1" ht="19.899999999999999" customHeight="1" thickBot="1" x14ac:dyDescent="0.25">
      <c r="A118" s="310"/>
      <c r="B118" s="311" t="s">
        <v>415</v>
      </c>
      <c r="C118" s="312" t="s">
        <v>155</v>
      </c>
      <c r="D118" s="313">
        <v>1</v>
      </c>
      <c r="E118" s="314">
        <f>F101</f>
        <v>64658.963960087356</v>
      </c>
      <c r="F118" s="315">
        <f>E118*D118</f>
        <v>64658.963960087356</v>
      </c>
    </row>
    <row r="119" spans="1:8" ht="19.899999999999999" customHeight="1" thickBot="1" x14ac:dyDescent="0.25">
      <c r="A119" s="317"/>
      <c r="B119" s="317"/>
      <c r="C119" s="317"/>
      <c r="D119" s="317"/>
      <c r="E119" s="317"/>
      <c r="F119" s="317"/>
    </row>
    <row r="120" spans="1:8" ht="19.899999999999999" customHeight="1" x14ac:dyDescent="0.2">
      <c r="A120" s="281" t="s">
        <v>261</v>
      </c>
      <c r="B120" s="647" t="s">
        <v>524</v>
      </c>
      <c r="C120" s="647"/>
      <c r="D120" s="647"/>
      <c r="E120" s="647"/>
      <c r="F120" s="648"/>
    </row>
    <row r="121" spans="1:8" ht="19.899999999999999" customHeight="1" x14ac:dyDescent="0.2">
      <c r="A121" s="282" t="s">
        <v>101</v>
      </c>
      <c r="B121" s="283" t="s">
        <v>103</v>
      </c>
      <c r="C121" s="283" t="s">
        <v>104</v>
      </c>
      <c r="D121" s="283" t="s">
        <v>105</v>
      </c>
      <c r="E121" s="283" t="s">
        <v>386</v>
      </c>
      <c r="F121" s="284" t="s">
        <v>387</v>
      </c>
    </row>
    <row r="122" spans="1:8" ht="19.899999999999999" customHeight="1" x14ac:dyDescent="0.2">
      <c r="A122" s="287"/>
      <c r="B122" s="52" t="str">
        <f>B120</f>
        <v>Relatório de Apoio no Acompanhamento da Conservação, Manutenção, Operação e Obras</v>
      </c>
      <c r="C122" s="53"/>
      <c r="D122" s="288"/>
      <c r="E122" s="58"/>
      <c r="F122" s="54">
        <f>F136+F138</f>
        <v>266702.13363232062</v>
      </c>
    </row>
    <row r="123" spans="1:8" ht="19.899999999999999" customHeight="1" x14ac:dyDescent="0.2">
      <c r="A123" s="287">
        <v>1</v>
      </c>
      <c r="B123" s="52" t="s">
        <v>395</v>
      </c>
      <c r="C123" s="53"/>
      <c r="D123" s="288"/>
      <c r="E123" s="58"/>
      <c r="F123" s="54">
        <f>SUM(F124:F128)</f>
        <v>53327.934991250011</v>
      </c>
    </row>
    <row r="124" spans="1:8" ht="19.899999999999999" customHeight="1" x14ac:dyDescent="0.2">
      <c r="A124" s="291" t="s">
        <v>121</v>
      </c>
      <c r="B124" s="55" t="s">
        <v>5</v>
      </c>
      <c r="C124" s="53" t="s">
        <v>397</v>
      </c>
      <c r="D124" s="480">
        <f>(H124*F1)/K2</f>
        <v>409.50800000000004</v>
      </c>
      <c r="E124" s="63">
        <f>'Planilha base'!$F$15/176</f>
        <v>59.706590909090913</v>
      </c>
      <c r="F124" s="50">
        <f>D124*E124</f>
        <v>24450.326630000003</v>
      </c>
      <c r="H124" s="322">
        <v>176</v>
      </c>
    </row>
    <row r="125" spans="1:8" ht="19.899999999999999" customHeight="1" x14ac:dyDescent="0.2">
      <c r="A125" s="291" t="s">
        <v>123</v>
      </c>
      <c r="B125" s="55" t="s">
        <v>398</v>
      </c>
      <c r="C125" s="53" t="s">
        <v>397</v>
      </c>
      <c r="D125" s="480">
        <f>(H125*$F$1)/$K$2*0.5</f>
        <v>409.50800000000004</v>
      </c>
      <c r="E125" s="63">
        <f>'Planilha base'!$F$16/176</f>
        <v>49.121022727272724</v>
      </c>
      <c r="F125" s="50">
        <f>D125*E125</f>
        <v>20115.451775000001</v>
      </c>
      <c r="H125" s="322">
        <v>352</v>
      </c>
    </row>
    <row r="126" spans="1:8" ht="19.899999999999999" customHeight="1" x14ac:dyDescent="0.2">
      <c r="A126" s="291" t="s">
        <v>132</v>
      </c>
      <c r="B126" s="55" t="s">
        <v>10</v>
      </c>
      <c r="C126" s="53" t="s">
        <v>397</v>
      </c>
      <c r="D126" s="480">
        <f>(H126*$F$1)/$K$2*0.5</f>
        <v>409.50800000000004</v>
      </c>
      <c r="E126" s="69">
        <f>'Planilha base'!$F$22/176</f>
        <v>16.018863636363637</v>
      </c>
      <c r="F126" s="50">
        <f>D126*E126</f>
        <v>6559.8528100000012</v>
      </c>
      <c r="H126" s="322">
        <v>352</v>
      </c>
    </row>
    <row r="127" spans="1:8" ht="19.899999999999999" customHeight="1" x14ac:dyDescent="0.2">
      <c r="A127" s="291" t="s">
        <v>137</v>
      </c>
      <c r="B127" s="55" t="s">
        <v>399</v>
      </c>
      <c r="C127" s="53" t="s">
        <v>397</v>
      </c>
      <c r="D127" s="480">
        <f>(H127*$F$1)/$K$2*0.5</f>
        <v>204.75400000000002</v>
      </c>
      <c r="E127" s="63">
        <f>'Planilha base'!$F$27/176</f>
        <v>10.755852272727273</v>
      </c>
      <c r="F127" s="50">
        <f>D127*E127</f>
        <v>2202.3037762500003</v>
      </c>
      <c r="H127" s="322">
        <v>176</v>
      </c>
    </row>
    <row r="128" spans="1:8" ht="19.899999999999999" customHeight="1" x14ac:dyDescent="0.2">
      <c r="A128" s="291"/>
      <c r="B128" s="55"/>
      <c r="C128" s="53"/>
      <c r="D128" s="297"/>
      <c r="E128" s="69"/>
      <c r="F128" s="50"/>
    </row>
    <row r="129" spans="1:8" ht="19.899999999999999" customHeight="1" x14ac:dyDescent="0.2">
      <c r="A129" s="287">
        <v>2</v>
      </c>
      <c r="B129" s="52" t="s">
        <v>400</v>
      </c>
      <c r="C129" s="299"/>
      <c r="D129" s="288"/>
      <c r="E129" s="58"/>
      <c r="F129" s="54">
        <f>SUM(F130:F132)</f>
        <v>60815.177064021511</v>
      </c>
    </row>
    <row r="130" spans="1:8" s="303" customFormat="1" ht="19.899999999999999" customHeight="1" x14ac:dyDescent="0.2">
      <c r="A130" s="47" t="s">
        <v>401</v>
      </c>
      <c r="B130" s="55" t="s">
        <v>148</v>
      </c>
      <c r="C130" s="69" t="s">
        <v>146</v>
      </c>
      <c r="D130" s="297">
        <f>F123</f>
        <v>53327.934991250011</v>
      </c>
      <c r="E130" s="301">
        <v>0.84040000000000004</v>
      </c>
      <c r="F130" s="50">
        <f>D130*E130</f>
        <v>44816.79656664651</v>
      </c>
    </row>
    <row r="131" spans="1:8" s="303" customFormat="1" ht="19.899999999999999" customHeight="1" x14ac:dyDescent="0.2">
      <c r="A131" s="47" t="s">
        <v>403</v>
      </c>
      <c r="B131" s="55" t="s">
        <v>151</v>
      </c>
      <c r="C131" s="69" t="s">
        <v>146</v>
      </c>
      <c r="D131" s="297">
        <f>F123</f>
        <v>53327.934991250011</v>
      </c>
      <c r="E131" s="301">
        <v>0.3</v>
      </c>
      <c r="F131" s="50">
        <f>D131*E131</f>
        <v>15998.380497375003</v>
      </c>
    </row>
    <row r="132" spans="1:8" s="303" customFormat="1" ht="19.899999999999999" customHeight="1" x14ac:dyDescent="0.2">
      <c r="A132" s="47"/>
      <c r="B132" s="55"/>
      <c r="C132" s="69"/>
      <c r="D132" s="297"/>
      <c r="E132" s="301"/>
      <c r="F132" s="50"/>
    </row>
    <row r="133" spans="1:8" ht="19.899999999999999" customHeight="1" x14ac:dyDescent="0.2">
      <c r="A133" s="287">
        <v>3</v>
      </c>
      <c r="B133" s="52" t="s">
        <v>411</v>
      </c>
      <c r="C133" s="299"/>
      <c r="D133" s="288"/>
      <c r="E133" s="58"/>
      <c r="F133" s="54">
        <f>SUM(F134:F135)</f>
        <v>34944.228897049041</v>
      </c>
    </row>
    <row r="134" spans="1:8" s="303" customFormat="1" ht="19.899999999999999" customHeight="1" x14ac:dyDescent="0.2">
      <c r="A134" s="47" t="s">
        <v>412</v>
      </c>
      <c r="B134" s="55" t="s">
        <v>186</v>
      </c>
      <c r="C134" s="69" t="s">
        <v>146</v>
      </c>
      <c r="D134" s="297">
        <f>F123+F129</f>
        <v>114143.11205527151</v>
      </c>
      <c r="E134" s="301">
        <v>0.12</v>
      </c>
      <c r="F134" s="50">
        <f>D134*E134</f>
        <v>13697.173446632582</v>
      </c>
    </row>
    <row r="135" spans="1:8" s="303" customFormat="1" ht="19.899999999999999" customHeight="1" x14ac:dyDescent="0.2">
      <c r="A135" s="47" t="s">
        <v>413</v>
      </c>
      <c r="B135" s="55" t="s">
        <v>188</v>
      </c>
      <c r="C135" s="69" t="s">
        <v>146</v>
      </c>
      <c r="D135" s="297">
        <f>D134+F134</f>
        <v>127840.2855019041</v>
      </c>
      <c r="E135" s="301">
        <v>0.16619999999999999</v>
      </c>
      <c r="F135" s="50">
        <f>D135*E135</f>
        <v>21247.055450416461</v>
      </c>
    </row>
    <row r="136" spans="1:8" s="303" customFormat="1" ht="19.899999999999999" customHeight="1" x14ac:dyDescent="0.2">
      <c r="A136" s="47"/>
      <c r="B136" s="55"/>
      <c r="C136" s="69"/>
      <c r="D136" s="297"/>
      <c r="E136" s="301"/>
      <c r="F136" s="54">
        <f>F133+F129+F123</f>
        <v>149087.34095232058</v>
      </c>
    </row>
    <row r="137" spans="1:8" s="303" customFormat="1" ht="19.899999999999999" customHeight="1" x14ac:dyDescent="0.2">
      <c r="A137" s="47"/>
      <c r="B137" s="55"/>
      <c r="C137" s="69"/>
      <c r="D137" s="297"/>
      <c r="E137" s="301"/>
      <c r="F137" s="50"/>
    </row>
    <row r="138" spans="1:8" s="303" customFormat="1" ht="19.899999999999999" customHeight="1" x14ac:dyDescent="0.2">
      <c r="A138" s="304" t="s">
        <v>414</v>
      </c>
      <c r="B138" s="305" t="s">
        <v>108</v>
      </c>
      <c r="C138" s="306" t="s">
        <v>397</v>
      </c>
      <c r="D138" s="307">
        <f>SUM(D124:D127)</f>
        <v>1433.2780000000002</v>
      </c>
      <c r="E138" s="321">
        <f>'Custo Gerencial LOTE 04'!$G$81</f>
        <v>82.06</v>
      </c>
      <c r="F138" s="309">
        <f>D138*E138</f>
        <v>117614.79268000003</v>
      </c>
    </row>
    <row r="139" spans="1:8" s="303" customFormat="1" ht="19.899999999999999" customHeight="1" x14ac:dyDescent="0.2">
      <c r="A139" s="47"/>
      <c r="B139" s="55"/>
      <c r="C139" s="69"/>
      <c r="D139" s="297"/>
      <c r="E139" s="301"/>
      <c r="F139" s="50"/>
    </row>
    <row r="140" spans="1:8" s="303" customFormat="1" ht="19.899999999999999" customHeight="1" thickBot="1" x14ac:dyDescent="0.25">
      <c r="A140" s="310"/>
      <c r="B140" s="311" t="s">
        <v>415</v>
      </c>
      <c r="C140" s="312" t="s">
        <v>155</v>
      </c>
      <c r="D140" s="313">
        <v>12</v>
      </c>
      <c r="E140" s="314">
        <f>F122</f>
        <v>266702.13363232062</v>
      </c>
      <c r="F140" s="315">
        <f>E140*D140</f>
        <v>3200425.6035878472</v>
      </c>
    </row>
    <row r="141" spans="1:8" ht="19.899999999999999" customHeight="1" thickBot="1" x14ac:dyDescent="0.25">
      <c r="A141" s="317"/>
      <c r="B141" s="317"/>
      <c r="C141" s="317"/>
      <c r="D141" s="317"/>
      <c r="F141" s="317"/>
    </row>
    <row r="142" spans="1:8" ht="19.899999999999999" customHeight="1" thickBot="1" x14ac:dyDescent="0.25">
      <c r="A142" s="660" t="s">
        <v>440</v>
      </c>
      <c r="B142" s="661"/>
      <c r="C142" s="661"/>
      <c r="D142" s="661"/>
      <c r="E142" s="661"/>
      <c r="F142" s="662"/>
      <c r="G142" s="572"/>
      <c r="H142" s="572"/>
    </row>
    <row r="143" spans="1:8" ht="19.899999999999999" customHeight="1" x14ac:dyDescent="0.2">
      <c r="A143" s="656" t="s">
        <v>101</v>
      </c>
      <c r="B143" s="658" t="s">
        <v>103</v>
      </c>
      <c r="C143" s="658"/>
      <c r="D143" s="654" t="s">
        <v>192</v>
      </c>
      <c r="E143" s="669" t="s">
        <v>490</v>
      </c>
      <c r="F143" s="670"/>
    </row>
    <row r="144" spans="1:8" ht="19.899999999999999" customHeight="1" x14ac:dyDescent="0.2">
      <c r="A144" s="657"/>
      <c r="B144" s="659"/>
      <c r="C144" s="659"/>
      <c r="D144" s="655"/>
      <c r="E144" s="576" t="s">
        <v>428</v>
      </c>
      <c r="F144" s="551" t="s">
        <v>107</v>
      </c>
    </row>
    <row r="145" spans="1:12" ht="19.899999999999999" customHeight="1" x14ac:dyDescent="0.2">
      <c r="A145" s="324" t="str">
        <f>A3</f>
        <v>A</v>
      </c>
      <c r="B145" s="325" t="str">
        <f>B3</f>
        <v>Relatório de Apoio na Análise da Monitoração do Pavimento</v>
      </c>
      <c r="C145" s="326"/>
      <c r="D145" s="554">
        <f>D28</f>
        <v>1</v>
      </c>
      <c r="E145" s="95">
        <f>E28</f>
        <v>810574.52011815773</v>
      </c>
      <c r="F145" s="94">
        <f t="shared" ref="F145:F150" si="0">ROUND(D145*E145,2)</f>
        <v>810574.52</v>
      </c>
    </row>
    <row r="146" spans="1:12" ht="19.899999999999999" customHeight="1" x14ac:dyDescent="0.2">
      <c r="A146" s="324" t="str">
        <f>A30</f>
        <v>B</v>
      </c>
      <c r="B146" s="325" t="str">
        <f>B30</f>
        <v>Relatório de Apoio na Análise da Monitoração da Sinalização Horizontal</v>
      </c>
      <c r="C146" s="326"/>
      <c r="D146" s="554">
        <f>D52</f>
        <v>1</v>
      </c>
      <c r="E146" s="95">
        <f>E52</f>
        <v>145894.79400820378</v>
      </c>
      <c r="F146" s="94">
        <f t="shared" si="0"/>
        <v>145894.79</v>
      </c>
    </row>
    <row r="147" spans="1:12" ht="19.899999999999999" customHeight="1" x14ac:dyDescent="0.2">
      <c r="A147" s="324" t="str">
        <f>A54</f>
        <v>C</v>
      </c>
      <c r="B147" s="325" t="str">
        <f>B54</f>
        <v>Relatório de Apoio na Análise da Monitoração da Sinalização Vertical</v>
      </c>
      <c r="C147" s="326"/>
      <c r="D147" s="554">
        <f>D76</f>
        <v>1</v>
      </c>
      <c r="E147" s="95">
        <f>E76</f>
        <v>102497.13747342779</v>
      </c>
      <c r="F147" s="94">
        <f t="shared" si="0"/>
        <v>102497.14</v>
      </c>
    </row>
    <row r="148" spans="1:12" ht="19.899999999999999" customHeight="1" x14ac:dyDescent="0.2">
      <c r="A148" s="324" t="str">
        <f>A78</f>
        <v>D</v>
      </c>
      <c r="B148" s="325" t="str">
        <f>B78</f>
        <v>Relatório de Apoio na Análise da Monitoração das Obras de Arte Especial</v>
      </c>
      <c r="C148" s="326"/>
      <c r="D148" s="554">
        <f>D97</f>
        <v>1</v>
      </c>
      <c r="E148" s="95">
        <f>E97</f>
        <v>72624.341718125492</v>
      </c>
      <c r="F148" s="94">
        <f t="shared" si="0"/>
        <v>72624.34</v>
      </c>
    </row>
    <row r="149" spans="1:12" ht="19.899999999999999" customHeight="1" x14ac:dyDescent="0.2">
      <c r="A149" s="324" t="str">
        <f>A99</f>
        <v>E</v>
      </c>
      <c r="B149" s="325" t="str">
        <f>B99</f>
        <v>Relatório de Apoio na Análise da Monitoração dos Terraplenos e Estruturas de Contenção</v>
      </c>
      <c r="C149" s="326"/>
      <c r="D149" s="554">
        <f>D118</f>
        <v>1</v>
      </c>
      <c r="E149" s="95">
        <f>E118</f>
        <v>64658.963960087356</v>
      </c>
      <c r="F149" s="94">
        <f t="shared" si="0"/>
        <v>64658.96</v>
      </c>
    </row>
    <row r="150" spans="1:12" ht="19.899999999999999" customHeight="1" thickBot="1" x14ac:dyDescent="0.25">
      <c r="A150" s="573" t="str">
        <f>A120</f>
        <v>F</v>
      </c>
      <c r="B150" s="574" t="str">
        <f>B120</f>
        <v>Relatório de Apoio no Acompanhamento da Conservação, Manutenção, Operação e Obras</v>
      </c>
      <c r="C150" s="575"/>
      <c r="D150" s="555">
        <f>D140</f>
        <v>12</v>
      </c>
      <c r="E150" s="577">
        <f>E140</f>
        <v>266702.13363232062</v>
      </c>
      <c r="F150" s="389">
        <f t="shared" si="0"/>
        <v>3200425.6</v>
      </c>
      <c r="I150" s="391"/>
      <c r="J150" s="391"/>
      <c r="K150" s="391"/>
      <c r="L150" s="391"/>
    </row>
    <row r="151" spans="1:12" ht="19.899999999999999" customHeight="1" thickBot="1" x14ac:dyDescent="0.25">
      <c r="D151" s="386"/>
      <c r="E151" s="552" t="s">
        <v>195</v>
      </c>
      <c r="F151" s="553">
        <f>ROUND(SUM(F145:F150),2)</f>
        <v>4396675.3499999996</v>
      </c>
      <c r="I151" s="391"/>
      <c r="J151" s="579"/>
      <c r="K151" s="579"/>
      <c r="L151" s="391"/>
    </row>
    <row r="152" spans="1:12" x14ac:dyDescent="0.2">
      <c r="D152" s="327"/>
      <c r="E152" s="391"/>
      <c r="I152" s="391"/>
      <c r="J152" s="391"/>
      <c r="K152" s="391"/>
      <c r="L152" s="391"/>
    </row>
    <row r="153" spans="1:12" x14ac:dyDescent="0.2">
      <c r="D153" s="160"/>
      <c r="F153" s="328"/>
      <c r="I153" s="391"/>
      <c r="J153" s="391"/>
      <c r="K153" s="391"/>
      <c r="L153" s="391"/>
    </row>
  </sheetData>
  <autoFilter ref="A5:A141"/>
  <mergeCells count="14">
    <mergeCell ref="A1:B1"/>
    <mergeCell ref="C1:E1"/>
    <mergeCell ref="B3:F3"/>
    <mergeCell ref="E143:F143"/>
    <mergeCell ref="D143:D144"/>
    <mergeCell ref="A143:A144"/>
    <mergeCell ref="B143:C144"/>
    <mergeCell ref="B120:F120"/>
    <mergeCell ref="A142:F142"/>
    <mergeCell ref="J3:O3"/>
    <mergeCell ref="B30:F30"/>
    <mergeCell ref="B54:F54"/>
    <mergeCell ref="B78:F78"/>
    <mergeCell ref="B99:F9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9" max="5" man="1"/>
    <brk id="53" max="5" man="1"/>
    <brk id="98" max="5" man="1"/>
    <brk id="119" max="5" man="1"/>
    <brk id="141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24</vt:i4>
      </vt:variant>
    </vt:vector>
  </HeadingPairs>
  <TitlesOfParts>
    <vt:vector size="45" baseType="lpstr">
      <vt:lpstr>Resumo</vt:lpstr>
      <vt:lpstr>Custo Gerencial LOTE 01</vt:lpstr>
      <vt:lpstr>Relatorios LOTE 01</vt:lpstr>
      <vt:lpstr>Custo Gerencial LOTE 02</vt:lpstr>
      <vt:lpstr>Relatorios LOTE 02</vt:lpstr>
      <vt:lpstr>Custo Gerencial LOTE 03</vt:lpstr>
      <vt:lpstr>Relatorios LOTE 03</vt:lpstr>
      <vt:lpstr>Custo Gerencial LOTE 04</vt:lpstr>
      <vt:lpstr>Relatorios LOTE 04</vt:lpstr>
      <vt:lpstr>Custo Gerencial LOTE 05</vt:lpstr>
      <vt:lpstr>Relatorios LOTE 05</vt:lpstr>
      <vt:lpstr>Custo Gerencial LOTE 06</vt:lpstr>
      <vt:lpstr>Relatorios LOTE 06</vt:lpstr>
      <vt:lpstr>Custo Gerencial LOTE 07</vt:lpstr>
      <vt:lpstr>Relatorios LOTE 07</vt:lpstr>
      <vt:lpstr>Tabela DNIT-Consult</vt:lpstr>
      <vt:lpstr>Planilha base</vt:lpstr>
      <vt:lpstr>Cotações FWD,IRI,LVC e Mancha</vt:lpstr>
      <vt:lpstr>Dimensionamento</vt:lpstr>
      <vt:lpstr>Diárias</vt:lpstr>
      <vt:lpstr>Faixas de Rolamento</vt:lpstr>
      <vt:lpstr>'Cotações FWD,IRI,LVC e Mancha'!Area_de_impressao</vt:lpstr>
      <vt:lpstr>'Custo Gerencial LOTE 02'!Area_de_impressao</vt:lpstr>
      <vt:lpstr>'Custo Gerencial LOTE 03'!Area_de_impressao</vt:lpstr>
      <vt:lpstr>'Custo Gerencial LOTE 04'!Area_de_impressao</vt:lpstr>
      <vt:lpstr>'Custo Gerencial LOTE 05'!Area_de_impressao</vt:lpstr>
      <vt:lpstr>'Custo Gerencial LOTE 06'!Area_de_impressao</vt:lpstr>
      <vt:lpstr>'Custo Gerencial LOTE 07'!Area_de_impressao</vt:lpstr>
      <vt:lpstr>'Planilha base'!Area_de_impressao</vt:lpstr>
      <vt:lpstr>'Relatorios LOTE 01'!Area_de_impressao</vt:lpstr>
      <vt:lpstr>'Relatorios LOTE 02'!Area_de_impressao</vt:lpstr>
      <vt:lpstr>'Relatorios LOTE 03'!Area_de_impressao</vt:lpstr>
      <vt:lpstr>'Relatorios LOTE 04'!Area_de_impressao</vt:lpstr>
      <vt:lpstr>'Relatorios LOTE 05'!Area_de_impressao</vt:lpstr>
      <vt:lpstr>'Relatorios LOTE 06'!Area_de_impressao</vt:lpstr>
      <vt:lpstr>'Relatorios LOTE 07'!Area_de_impressao</vt:lpstr>
      <vt:lpstr>Resumo!Area_de_impressao</vt:lpstr>
      <vt:lpstr>'Tabela DNIT-Consult'!Area_de_impressao</vt:lpstr>
      <vt:lpstr>'Relatorios LOTE 01'!Titulos_de_impressao</vt:lpstr>
      <vt:lpstr>'Relatorios LOTE 02'!Titulos_de_impressao</vt:lpstr>
      <vt:lpstr>'Relatorios LOTE 03'!Titulos_de_impressao</vt:lpstr>
      <vt:lpstr>'Relatorios LOTE 04'!Titulos_de_impressao</vt:lpstr>
      <vt:lpstr>'Relatorios LOTE 05'!Titulos_de_impressao</vt:lpstr>
      <vt:lpstr>'Relatorios LOTE 06'!Titulos_de_impressao</vt:lpstr>
      <vt:lpstr>'Relatorios LOTE 07'!Titulos_de_impressao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2018-09-05T20:23:32Z</cp:lastPrinted>
  <dcterms:created xsi:type="dcterms:W3CDTF">2018-08-09T13:46:39Z</dcterms:created>
  <dcterms:modified xsi:type="dcterms:W3CDTF">2018-11-21T13:02:33Z</dcterms:modified>
</cp:coreProperties>
</file>